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9735" activeTab="5"/>
  </bookViews>
  <sheets>
    <sheet name="ฉะเชิงเทรา" sheetId="2" r:id="rId1"/>
    <sheet name="ชลบุรี1" sheetId="3" r:id="rId2"/>
    <sheet name="จันทบุรี" sheetId="4" r:id="rId3"/>
    <sheet name="ตราด" sheetId="5" r:id="rId4"/>
    <sheet name="ระยอง" sheetId="6" r:id="rId5"/>
    <sheet name="ชลบุรี2" sheetId="7" r:id="rId6"/>
  </sheets>
  <definedNames>
    <definedName name="_xlnm.Print_Area" localSheetId="2">จันทบุรี!$A$1:$AI$29</definedName>
    <definedName name="_xlnm.Print_Area" localSheetId="0">ฉะเชิงเทรา!$A$1:$AI$54</definedName>
    <definedName name="_xlnm.Print_Area" localSheetId="1">ชลบุรี1!$A$1:$AI$36</definedName>
    <definedName name="_xlnm.Print_Area" localSheetId="5">ชลบุรี2!$A$1:$AI$76</definedName>
    <definedName name="_xlnm.Print_Area" localSheetId="3">ตราด!$A$1:$AI$20</definedName>
    <definedName name="_xlnm.Print_Area" localSheetId="4">ระยอง!$A$1:$AI$40</definedName>
  </definedNames>
  <calcPr calcId="144525"/>
</workbook>
</file>

<file path=xl/calcChain.xml><?xml version="1.0" encoding="utf-8"?>
<calcChain xmlns="http://schemas.openxmlformats.org/spreadsheetml/2006/main">
  <c r="AL29" i="2" l="1"/>
  <c r="AG28" i="2"/>
  <c r="AG29" i="2"/>
  <c r="AE27" i="2"/>
  <c r="AE28" i="2"/>
  <c r="AE29" i="2"/>
  <c r="AK29" i="2"/>
  <c r="AL28" i="2"/>
  <c r="AK28" i="2"/>
  <c r="U29" i="2"/>
  <c r="T28" i="2"/>
  <c r="S29" i="2"/>
  <c r="R29" i="2"/>
  <c r="R28" i="2"/>
  <c r="AN28" i="2"/>
  <c r="P29" i="2"/>
  <c r="P28" i="2"/>
  <c r="O29" i="2"/>
  <c r="O28" i="2"/>
  <c r="N29" i="2"/>
  <c r="N28" i="2"/>
  <c r="M29" i="2"/>
  <c r="M28" i="2"/>
  <c r="U30" i="2"/>
  <c r="T30" i="2"/>
  <c r="S30" i="2"/>
  <c r="R30" i="2"/>
  <c r="P30" i="2"/>
  <c r="O30" i="2"/>
  <c r="N30" i="2"/>
  <c r="M30" i="2"/>
  <c r="U20" i="2" l="1"/>
  <c r="T20" i="2"/>
  <c r="S20" i="2"/>
  <c r="R20" i="2"/>
  <c r="P20" i="2"/>
  <c r="O20" i="2"/>
  <c r="N20" i="2"/>
  <c r="M20" i="2"/>
  <c r="U19" i="2"/>
  <c r="T19" i="2"/>
  <c r="S19" i="2"/>
  <c r="R19" i="2"/>
  <c r="P19" i="2"/>
  <c r="O19" i="2"/>
  <c r="N19" i="2"/>
  <c r="M19" i="2"/>
  <c r="M39" i="6" l="1"/>
  <c r="N39" i="6"/>
  <c r="O39" i="6"/>
  <c r="P39" i="6"/>
  <c r="H22" i="6"/>
  <c r="M19" i="5"/>
  <c r="N19" i="5"/>
  <c r="O19" i="5"/>
  <c r="P19" i="5"/>
  <c r="Z20" i="5"/>
  <c r="Q29" i="4"/>
  <c r="M28" i="4"/>
  <c r="N28" i="4"/>
  <c r="O28" i="4"/>
  <c r="P28" i="4"/>
  <c r="Y28" i="4"/>
  <c r="R28" i="4"/>
  <c r="S28" i="4"/>
  <c r="T28" i="4"/>
  <c r="U28" i="4"/>
  <c r="Y24" i="3"/>
  <c r="R24" i="3"/>
  <c r="S24" i="3"/>
  <c r="T24" i="3"/>
  <c r="U24" i="3"/>
  <c r="Z25" i="3"/>
  <c r="M24" i="3"/>
  <c r="N24" i="3"/>
  <c r="O24" i="3"/>
  <c r="P24" i="3"/>
  <c r="M53" i="2"/>
  <c r="N53" i="2"/>
  <c r="O53" i="2"/>
  <c r="P53" i="2"/>
  <c r="AC33" i="2"/>
  <c r="AE33" i="2"/>
  <c r="AG33" i="2"/>
  <c r="AI33" i="2"/>
  <c r="AK33" i="2"/>
  <c r="AL33" i="2" s="1"/>
  <c r="U76" i="7"/>
  <c r="R60" i="7"/>
  <c r="S60" i="7"/>
  <c r="T60" i="7"/>
  <c r="U60" i="7"/>
  <c r="AC26" i="7"/>
  <c r="AC27" i="7"/>
  <c r="AC28" i="7"/>
  <c r="AC29" i="7"/>
  <c r="AC30" i="7"/>
  <c r="AC31" i="7"/>
  <c r="AC32" i="7"/>
  <c r="Y57" i="7"/>
  <c r="Y58" i="7"/>
  <c r="Y59" i="7"/>
  <c r="M60" i="7"/>
  <c r="N60" i="7"/>
  <c r="O60" i="7"/>
  <c r="P60" i="7"/>
  <c r="M35" i="2"/>
  <c r="T35" i="3" l="1"/>
  <c r="T53" i="2"/>
  <c r="N22" i="6" l="1"/>
  <c r="O22" i="6"/>
  <c r="P22" i="6"/>
  <c r="M22" i="6"/>
  <c r="AR5" i="3"/>
  <c r="AV5" i="3" s="1"/>
  <c r="AS5" i="3"/>
  <c r="AW5" i="3" s="1"/>
  <c r="AR6" i="3"/>
  <c r="AV6" i="3" s="1"/>
  <c r="AS6" i="3"/>
  <c r="AW6" i="3" s="1"/>
  <c r="AR7" i="3"/>
  <c r="AV7" i="3" s="1"/>
  <c r="AS7" i="3"/>
  <c r="AW7" i="3" s="1"/>
  <c r="AR8" i="3"/>
  <c r="AV8" i="3" s="1"/>
  <c r="AS8" i="3"/>
  <c r="AW8" i="3" s="1"/>
  <c r="AR9" i="3"/>
  <c r="AV9" i="3" s="1"/>
  <c r="AS9" i="3"/>
  <c r="AW9" i="3" s="1"/>
  <c r="AR10" i="3"/>
  <c r="AV10" i="3" s="1"/>
  <c r="AS10" i="3"/>
  <c r="AW10" i="3" s="1"/>
  <c r="AR11" i="3"/>
  <c r="AV11" i="3" s="1"/>
  <c r="AS11" i="3"/>
  <c r="AW11" i="3" s="1"/>
  <c r="AR12" i="3"/>
  <c r="AV12" i="3" s="1"/>
  <c r="AS12" i="3"/>
  <c r="AW12" i="3" s="1"/>
  <c r="AR13" i="3"/>
  <c r="AV13" i="3" s="1"/>
  <c r="AS13" i="3"/>
  <c r="AW13" i="3" s="1"/>
  <c r="AR14" i="3"/>
  <c r="AV14" i="3" s="1"/>
  <c r="AS14" i="3"/>
  <c r="AW14" i="3" s="1"/>
  <c r="AR15" i="3"/>
  <c r="AV15" i="3" s="1"/>
  <c r="AS15" i="3"/>
  <c r="AW15" i="3" s="1"/>
  <c r="AR16" i="3"/>
  <c r="AV16" i="3" s="1"/>
  <c r="AS16" i="3"/>
  <c r="AW16" i="3" s="1"/>
  <c r="AR17" i="3"/>
  <c r="AV17" i="3" s="1"/>
  <c r="AS17" i="3"/>
  <c r="AW17" i="3" s="1"/>
  <c r="AR18" i="3"/>
  <c r="AV18" i="3" s="1"/>
  <c r="AS18" i="3"/>
  <c r="AW18" i="3" s="1"/>
  <c r="AR19" i="3"/>
  <c r="AV19" i="3" s="1"/>
  <c r="AS19" i="3"/>
  <c r="AW19" i="3" s="1"/>
  <c r="AR20" i="3"/>
  <c r="AV20" i="3" s="1"/>
  <c r="AS20" i="3"/>
  <c r="AW20" i="3" s="1"/>
  <c r="AR21" i="3"/>
  <c r="AV21" i="3" s="1"/>
  <c r="AS21" i="3"/>
  <c r="AW21" i="3" s="1"/>
  <c r="AR22" i="3"/>
  <c r="AV22" i="3" s="1"/>
  <c r="AS22" i="3"/>
  <c r="AW22" i="3" s="1"/>
  <c r="AR23" i="3"/>
  <c r="AV23" i="3" s="1"/>
  <c r="AS23" i="3"/>
  <c r="AW23" i="3" s="1"/>
  <c r="AS4" i="3"/>
  <c r="AW4" i="3" s="1"/>
  <c r="AR4" i="3"/>
  <c r="AV4" i="3" s="1"/>
  <c r="Z36" i="2" l="1"/>
  <c r="S35" i="2"/>
  <c r="T35" i="2"/>
  <c r="U35" i="2"/>
  <c r="R35" i="2"/>
  <c r="N35" i="2"/>
  <c r="O35" i="2"/>
  <c r="P35" i="2"/>
  <c r="AG5" i="2"/>
  <c r="Q36" i="2" l="1"/>
  <c r="Y20" i="6" l="1"/>
  <c r="Y19" i="6"/>
  <c r="AN19" i="6"/>
  <c r="AM19" i="6"/>
  <c r="Y13" i="6"/>
  <c r="AN13" i="6"/>
  <c r="AM13" i="6"/>
  <c r="AK12" i="6"/>
  <c r="AL12" i="6" s="1"/>
  <c r="Y12" i="6"/>
  <c r="AN12" i="6"/>
  <c r="AM12" i="6"/>
  <c r="W22" i="6" l="1"/>
  <c r="X22" i="6"/>
  <c r="Y9" i="6"/>
  <c r="Y10" i="6"/>
  <c r="Y11" i="6"/>
  <c r="Y14" i="6"/>
  <c r="Y15" i="6"/>
  <c r="Y16" i="6"/>
  <c r="Y17" i="6"/>
  <c r="Y18" i="6"/>
  <c r="Y21" i="6"/>
  <c r="Y8" i="6"/>
  <c r="R39" i="6"/>
  <c r="S39" i="6"/>
  <c r="T34" i="6"/>
  <c r="T35" i="6"/>
  <c r="T36" i="6"/>
  <c r="T37" i="6"/>
  <c r="T38" i="6"/>
  <c r="T33" i="6"/>
  <c r="W19" i="5"/>
  <c r="X19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4" i="5"/>
  <c r="W28" i="4"/>
  <c r="X28" i="4"/>
  <c r="R35" i="3"/>
  <c r="S35" i="3"/>
  <c r="W24" i="3"/>
  <c r="X24" i="3"/>
  <c r="AT5" i="3"/>
  <c r="AX5" i="3" s="1"/>
  <c r="AT6" i="3"/>
  <c r="AX6" i="3" s="1"/>
  <c r="AT7" i="3"/>
  <c r="AX7" i="3" s="1"/>
  <c r="AT8" i="3"/>
  <c r="AX8" i="3" s="1"/>
  <c r="AT9" i="3"/>
  <c r="AX9" i="3" s="1"/>
  <c r="AT10" i="3"/>
  <c r="AX10" i="3" s="1"/>
  <c r="AT11" i="3"/>
  <c r="AX11" i="3" s="1"/>
  <c r="AT12" i="3"/>
  <c r="AX12" i="3" s="1"/>
  <c r="AT13" i="3"/>
  <c r="AX13" i="3" s="1"/>
  <c r="AT14" i="3"/>
  <c r="AX14" i="3" s="1"/>
  <c r="AT15" i="3"/>
  <c r="AX15" i="3" s="1"/>
  <c r="AT16" i="3"/>
  <c r="AX16" i="3" s="1"/>
  <c r="AT17" i="3"/>
  <c r="AX17" i="3" s="1"/>
  <c r="AT18" i="3"/>
  <c r="AX18" i="3" s="1"/>
  <c r="AT19" i="3"/>
  <c r="AX19" i="3" s="1"/>
  <c r="AT20" i="3"/>
  <c r="AX20" i="3" s="1"/>
  <c r="AT21" i="3"/>
  <c r="AX21" i="3" s="1"/>
  <c r="AT22" i="3"/>
  <c r="AX22" i="3" s="1"/>
  <c r="AT23" i="3"/>
  <c r="AX23" i="3" s="1"/>
  <c r="AT4" i="3"/>
  <c r="AX4" i="3" s="1"/>
  <c r="R53" i="2"/>
  <c r="S53" i="2"/>
  <c r="W35" i="2"/>
  <c r="X35" i="2"/>
  <c r="W60" i="7"/>
  <c r="X60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4" i="7"/>
  <c r="Y22" i="6" l="1"/>
  <c r="Y19" i="5"/>
  <c r="Y60" i="7"/>
  <c r="T39" i="6"/>
  <c r="Y35" i="2"/>
  <c r="V35" i="3"/>
  <c r="W35" i="3"/>
  <c r="AI36" i="2" l="1"/>
  <c r="AK5" i="7"/>
  <c r="AL5" i="7" s="1"/>
  <c r="AK6" i="7"/>
  <c r="AL6" i="7" s="1"/>
  <c r="AK7" i="7"/>
  <c r="AL7" i="7" s="1"/>
  <c r="AK8" i="7"/>
  <c r="AL8" i="7" s="1"/>
  <c r="AK9" i="7"/>
  <c r="AL9" i="7" s="1"/>
  <c r="AK10" i="7"/>
  <c r="AL10" i="7" s="1"/>
  <c r="AK11" i="7"/>
  <c r="AL11" i="7" s="1"/>
  <c r="AK12" i="7"/>
  <c r="AL12" i="7" s="1"/>
  <c r="AK13" i="7"/>
  <c r="AL13" i="7" s="1"/>
  <c r="AK14" i="7"/>
  <c r="AL14" i="7" s="1"/>
  <c r="AK15" i="7"/>
  <c r="AL15" i="7" s="1"/>
  <c r="AK16" i="7"/>
  <c r="AL16" i="7" s="1"/>
  <c r="AK17" i="7"/>
  <c r="AL17" i="7" s="1"/>
  <c r="AK18" i="7"/>
  <c r="AL18" i="7" s="1"/>
  <c r="AK19" i="7"/>
  <c r="AL19" i="7" s="1"/>
  <c r="AK20" i="7"/>
  <c r="AL20" i="7" s="1"/>
  <c r="AK21" i="7"/>
  <c r="AL21" i="7" s="1"/>
  <c r="AK22" i="7"/>
  <c r="AL22" i="7" s="1"/>
  <c r="AK23" i="7"/>
  <c r="AL23" i="7" s="1"/>
  <c r="AK24" i="7"/>
  <c r="AL24" i="7" s="1"/>
  <c r="AK25" i="7"/>
  <c r="AL25" i="7" s="1"/>
  <c r="AK26" i="7"/>
  <c r="AL26" i="7" s="1"/>
  <c r="AK27" i="7"/>
  <c r="AL27" i="7" s="1"/>
  <c r="AK28" i="7"/>
  <c r="AL28" i="7" s="1"/>
  <c r="AK29" i="7"/>
  <c r="AL29" i="7" s="1"/>
  <c r="AK30" i="7"/>
  <c r="AL30" i="7" s="1"/>
  <c r="AK31" i="7"/>
  <c r="AL31" i="7" s="1"/>
  <c r="AK32" i="7"/>
  <c r="AL32" i="7" s="1"/>
  <c r="AK33" i="7"/>
  <c r="AL33" i="7" s="1"/>
  <c r="AK34" i="7"/>
  <c r="AL34" i="7" s="1"/>
  <c r="AK35" i="7"/>
  <c r="AL35" i="7" s="1"/>
  <c r="AK36" i="7"/>
  <c r="AL36" i="7" s="1"/>
  <c r="AK37" i="7"/>
  <c r="AL37" i="7" s="1"/>
  <c r="AK38" i="7"/>
  <c r="AL38" i="7" s="1"/>
  <c r="AK39" i="7"/>
  <c r="AL39" i="7" s="1"/>
  <c r="AK40" i="7"/>
  <c r="AL40" i="7" s="1"/>
  <c r="AK41" i="7"/>
  <c r="AL41" i="7" s="1"/>
  <c r="AK42" i="7"/>
  <c r="AL42" i="7" s="1"/>
  <c r="AK43" i="7"/>
  <c r="AL43" i="7" s="1"/>
  <c r="AK44" i="7"/>
  <c r="AL44" i="7" s="1"/>
  <c r="AK45" i="7"/>
  <c r="AL45" i="7" s="1"/>
  <c r="AK46" i="7"/>
  <c r="AL46" i="7" s="1"/>
  <c r="AK47" i="7"/>
  <c r="AL47" i="7" s="1"/>
  <c r="AK48" i="7"/>
  <c r="AL48" i="7" s="1"/>
  <c r="AK49" i="7"/>
  <c r="AL49" i="7" s="1"/>
  <c r="AK50" i="7"/>
  <c r="AL50" i="7" s="1"/>
  <c r="AK51" i="7"/>
  <c r="AL51" i="7" s="1"/>
  <c r="AK52" i="7"/>
  <c r="AL52" i="7" s="1"/>
  <c r="AK53" i="7"/>
  <c r="AL53" i="7" s="1"/>
  <c r="AK54" i="7"/>
  <c r="AL54" i="7" s="1"/>
  <c r="AK55" i="7"/>
  <c r="AL55" i="7" s="1"/>
  <c r="AK56" i="7"/>
  <c r="AL56" i="7" s="1"/>
  <c r="AK4" i="7"/>
  <c r="AL4" i="7" s="1"/>
  <c r="AK9" i="6"/>
  <c r="AL9" i="6" s="1"/>
  <c r="AK10" i="6"/>
  <c r="AL10" i="6" s="1"/>
  <c r="AK11" i="6"/>
  <c r="AL11" i="6" s="1"/>
  <c r="AK14" i="6"/>
  <c r="AL14" i="6" s="1"/>
  <c r="AK15" i="6"/>
  <c r="AL15" i="6" s="1"/>
  <c r="AK16" i="6"/>
  <c r="AL16" i="6" s="1"/>
  <c r="AK17" i="6"/>
  <c r="AL17" i="6" s="1"/>
  <c r="AK18" i="6"/>
  <c r="AL18" i="6" s="1"/>
  <c r="AK21" i="6"/>
  <c r="AL21" i="6" s="1"/>
  <c r="AK8" i="6"/>
  <c r="AL8" i="6" s="1"/>
  <c r="AK5" i="5"/>
  <c r="AL5" i="5" s="1"/>
  <c r="AK6" i="5"/>
  <c r="AL6" i="5" s="1"/>
  <c r="AK7" i="5"/>
  <c r="AL7" i="5" s="1"/>
  <c r="AK8" i="5"/>
  <c r="AL8" i="5" s="1"/>
  <c r="AK9" i="5"/>
  <c r="AL9" i="5" s="1"/>
  <c r="AK10" i="5"/>
  <c r="AL10" i="5" s="1"/>
  <c r="AK11" i="5"/>
  <c r="AL11" i="5" s="1"/>
  <c r="AK12" i="5"/>
  <c r="AL12" i="5" s="1"/>
  <c r="AK13" i="5"/>
  <c r="AL13" i="5" s="1"/>
  <c r="AK14" i="5"/>
  <c r="AL14" i="5" s="1"/>
  <c r="AK15" i="5"/>
  <c r="AL15" i="5" s="1"/>
  <c r="AK16" i="5"/>
  <c r="AL16" i="5" s="1"/>
  <c r="AK17" i="5"/>
  <c r="AL17" i="5" s="1"/>
  <c r="AK18" i="5"/>
  <c r="AL18" i="5" s="1"/>
  <c r="AK4" i="5"/>
  <c r="AL4" i="5" s="1"/>
  <c r="AK5" i="4"/>
  <c r="AK6" i="4"/>
  <c r="AL6" i="4" s="1"/>
  <c r="AK7" i="4"/>
  <c r="AL7" i="4" s="1"/>
  <c r="AK8" i="4"/>
  <c r="AL8" i="4" s="1"/>
  <c r="AK9" i="4"/>
  <c r="AL9" i="4" s="1"/>
  <c r="AK10" i="4"/>
  <c r="AL10" i="4" s="1"/>
  <c r="AK11" i="4"/>
  <c r="AL11" i="4" s="1"/>
  <c r="AK12" i="4"/>
  <c r="AL12" i="4" s="1"/>
  <c r="AK13" i="4"/>
  <c r="AL13" i="4" s="1"/>
  <c r="AK14" i="4"/>
  <c r="AL14" i="4" s="1"/>
  <c r="AK15" i="4"/>
  <c r="AL15" i="4" s="1"/>
  <c r="AK16" i="4"/>
  <c r="AL16" i="4" s="1"/>
  <c r="AK17" i="4"/>
  <c r="AL17" i="4" s="1"/>
  <c r="AK18" i="4"/>
  <c r="AL18" i="4" s="1"/>
  <c r="AK19" i="4"/>
  <c r="AL19" i="4" s="1"/>
  <c r="AK20" i="4"/>
  <c r="AL20" i="4" s="1"/>
  <c r="AK21" i="4"/>
  <c r="AL21" i="4" s="1"/>
  <c r="AK22" i="4"/>
  <c r="AL22" i="4" s="1"/>
  <c r="AK23" i="4"/>
  <c r="AL23" i="4" s="1"/>
  <c r="AK24" i="4"/>
  <c r="AL24" i="4" s="1"/>
  <c r="AK25" i="4"/>
  <c r="AL25" i="4" s="1"/>
  <c r="AK26" i="4"/>
  <c r="AL26" i="4" s="1"/>
  <c r="AK27" i="4"/>
  <c r="AL27" i="4" s="1"/>
  <c r="AK4" i="4"/>
  <c r="AL4" i="4" s="1"/>
  <c r="AK5" i="3"/>
  <c r="AL5" i="3" s="1"/>
  <c r="AK6" i="3"/>
  <c r="AL6" i="3" s="1"/>
  <c r="AK7" i="3"/>
  <c r="AL7" i="3" s="1"/>
  <c r="AK8" i="3"/>
  <c r="AL8" i="3" s="1"/>
  <c r="AK9" i="3"/>
  <c r="AL9" i="3" s="1"/>
  <c r="AK10" i="3"/>
  <c r="AL10" i="3" s="1"/>
  <c r="AK11" i="3"/>
  <c r="AL11" i="3" s="1"/>
  <c r="AK12" i="3"/>
  <c r="AL12" i="3" s="1"/>
  <c r="AK13" i="3"/>
  <c r="AL13" i="3" s="1"/>
  <c r="AK14" i="3"/>
  <c r="AL14" i="3" s="1"/>
  <c r="AK15" i="3"/>
  <c r="AL15" i="3" s="1"/>
  <c r="AK16" i="3"/>
  <c r="AL16" i="3" s="1"/>
  <c r="AK17" i="3"/>
  <c r="AL17" i="3" s="1"/>
  <c r="AK18" i="3"/>
  <c r="AL18" i="3" s="1"/>
  <c r="AK19" i="3"/>
  <c r="AL19" i="3" s="1"/>
  <c r="AK20" i="3"/>
  <c r="AL20" i="3" s="1"/>
  <c r="AK21" i="3"/>
  <c r="AL21" i="3" s="1"/>
  <c r="AK22" i="3"/>
  <c r="AL22" i="3" s="1"/>
  <c r="AK23" i="3"/>
  <c r="AL23" i="3" s="1"/>
  <c r="AK4" i="3"/>
  <c r="AL4" i="3" s="1"/>
  <c r="AK6" i="2"/>
  <c r="AL6" i="2" s="1"/>
  <c r="AK7" i="2"/>
  <c r="AL7" i="2" s="1"/>
  <c r="AK8" i="2"/>
  <c r="AL8" i="2" s="1"/>
  <c r="AK9" i="2"/>
  <c r="AL9" i="2" s="1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31" i="2"/>
  <c r="AL31" i="2" s="1"/>
  <c r="AK32" i="2"/>
  <c r="AL32" i="2" s="1"/>
  <c r="AK34" i="2"/>
  <c r="AL34" i="2" s="1"/>
  <c r="AK4" i="2"/>
  <c r="AL4" i="2" s="1"/>
  <c r="H53" i="2"/>
  <c r="AG6" i="3"/>
  <c r="AG7" i="3"/>
  <c r="AE6" i="3"/>
  <c r="AE7" i="3"/>
  <c r="AC6" i="3"/>
  <c r="AC7" i="3"/>
  <c r="U54" i="2" l="1"/>
  <c r="Q54" i="2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4" i="5"/>
  <c r="AI4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I18" i="4"/>
  <c r="AI19" i="4"/>
  <c r="AI20" i="4"/>
  <c r="AI17" i="4"/>
  <c r="AG17" i="4"/>
  <c r="AG18" i="4"/>
  <c r="AG19" i="4"/>
  <c r="AG20" i="4"/>
  <c r="AG21" i="4"/>
  <c r="AG22" i="4"/>
  <c r="AG23" i="4"/>
  <c r="AG24" i="4"/>
  <c r="AG25" i="4"/>
  <c r="AG26" i="4"/>
  <c r="AG27" i="4"/>
  <c r="AE18" i="4"/>
  <c r="AE19" i="4"/>
  <c r="AE20" i="4"/>
  <c r="AE21" i="4"/>
  <c r="AE22" i="4"/>
  <c r="AE23" i="4"/>
  <c r="AE24" i="4"/>
  <c r="AE25" i="4"/>
  <c r="AE26" i="4"/>
  <c r="AE27" i="4"/>
  <c r="AE17" i="4"/>
  <c r="AC19" i="4"/>
  <c r="AC20" i="4"/>
  <c r="AC21" i="4"/>
  <c r="AC22" i="4"/>
  <c r="AC23" i="4"/>
  <c r="AC24" i="4"/>
  <c r="AC25" i="4"/>
  <c r="AC26" i="4"/>
  <c r="AC27" i="4"/>
  <c r="AC18" i="4"/>
  <c r="AG6" i="4"/>
  <c r="AG7" i="4"/>
  <c r="AG8" i="4"/>
  <c r="AG9" i="4"/>
  <c r="AG10" i="4"/>
  <c r="AG11" i="4"/>
  <c r="AG12" i="4"/>
  <c r="AG13" i="4"/>
  <c r="AG14" i="4"/>
  <c r="AG15" i="4"/>
  <c r="AG16" i="4"/>
  <c r="AG4" i="4"/>
  <c r="AC17" i="4"/>
  <c r="AE5" i="7" l="1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4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57" i="7"/>
  <c r="AG58" i="7"/>
  <c r="AG59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4" i="7"/>
  <c r="AG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C50" i="7"/>
  <c r="AC51" i="7"/>
  <c r="AC52" i="7"/>
  <c r="AC53" i="7"/>
  <c r="AC54" i="7"/>
  <c r="AC55" i="7"/>
  <c r="AC56" i="7"/>
  <c r="AC57" i="7"/>
  <c r="AC58" i="7"/>
  <c r="AC59" i="7"/>
  <c r="AC4" i="7"/>
  <c r="AE4" i="6"/>
  <c r="AE4" i="4"/>
  <c r="AC4" i="6"/>
  <c r="AC4" i="5"/>
  <c r="AC4" i="4"/>
  <c r="AC4" i="3"/>
  <c r="AN16" i="4"/>
  <c r="AN17" i="4"/>
  <c r="AN18" i="4"/>
  <c r="AN19" i="4"/>
  <c r="AN20" i="4"/>
  <c r="AN21" i="4"/>
  <c r="AN22" i="4"/>
  <c r="AN23" i="4"/>
  <c r="AN24" i="4"/>
  <c r="AN25" i="4"/>
  <c r="AN26" i="4"/>
  <c r="AN27" i="4"/>
  <c r="AM17" i="4"/>
  <c r="AM18" i="4"/>
  <c r="AM19" i="4"/>
  <c r="AM20" i="4"/>
  <c r="AM21" i="4"/>
  <c r="AM22" i="4"/>
  <c r="AM23" i="4"/>
  <c r="AM24" i="4"/>
  <c r="AM25" i="4"/>
  <c r="AM26" i="4"/>
  <c r="AM27" i="4"/>
  <c r="AI4" i="3"/>
  <c r="AG4" i="3"/>
  <c r="AE4" i="3"/>
  <c r="AI4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21" i="2"/>
  <c r="AI22" i="2"/>
  <c r="AI23" i="2"/>
  <c r="AI24" i="2"/>
  <c r="AI25" i="2"/>
  <c r="AI26" i="2"/>
  <c r="AI27" i="2"/>
  <c r="AI31" i="2"/>
  <c r="AI32" i="2"/>
  <c r="AI34" i="2"/>
  <c r="AG4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21" i="2"/>
  <c r="AG22" i="2"/>
  <c r="AG23" i="2"/>
  <c r="AG24" i="2"/>
  <c r="AG25" i="2"/>
  <c r="AG26" i="2"/>
  <c r="AG27" i="2"/>
  <c r="AG31" i="2"/>
  <c r="AG32" i="2"/>
  <c r="AG34" i="2"/>
  <c r="AE4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21" i="2"/>
  <c r="AE22" i="2"/>
  <c r="AE23" i="2"/>
  <c r="AE24" i="2"/>
  <c r="AE25" i="2"/>
  <c r="AE26" i="2"/>
  <c r="AE31" i="2"/>
  <c r="AE32" i="2"/>
  <c r="AE34" i="2"/>
  <c r="AC4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21" i="2"/>
  <c r="AC22" i="2"/>
  <c r="AC23" i="2"/>
  <c r="AC24" i="2"/>
  <c r="AC25" i="2"/>
  <c r="AC26" i="2"/>
  <c r="AC27" i="2"/>
  <c r="AC31" i="2"/>
  <c r="AC32" i="2"/>
  <c r="AC34" i="2"/>
  <c r="AA35" i="2"/>
  <c r="AB35" i="2"/>
  <c r="AD35" i="2"/>
  <c r="AF35" i="2"/>
  <c r="AH35" i="2"/>
  <c r="AC36" i="2" l="1"/>
  <c r="AC61" i="7"/>
  <c r="AE61" i="7"/>
  <c r="AL60" i="7"/>
  <c r="AI61" i="7"/>
  <c r="AN21" i="6"/>
  <c r="AM21" i="6"/>
  <c r="AN8" i="6"/>
  <c r="AM8" i="6"/>
  <c r="AO24" i="3"/>
  <c r="AI25" i="3"/>
  <c r="AN7" i="3"/>
  <c r="AM7" i="3"/>
  <c r="AQ7" i="3" s="1"/>
  <c r="AN5" i="3"/>
  <c r="AM5" i="3"/>
  <c r="AQ5" i="3" s="1"/>
  <c r="AN6" i="3"/>
  <c r="AM6" i="3"/>
  <c r="AQ6" i="3" s="1"/>
  <c r="AC25" i="3" l="1"/>
  <c r="AL24" i="3"/>
  <c r="AN31" i="2"/>
  <c r="AM31" i="2"/>
  <c r="AH60" i="7" l="1"/>
  <c r="AF60" i="7"/>
  <c r="AD60" i="7"/>
  <c r="AB60" i="7"/>
  <c r="AA60" i="7"/>
  <c r="AN4" i="7"/>
  <c r="AM4" i="7"/>
  <c r="AF5" i="4"/>
  <c r="AL5" i="4" s="1"/>
  <c r="AG5" i="4" l="1"/>
  <c r="V61" i="7"/>
  <c r="AG61" i="7"/>
  <c r="Z61" i="7"/>
  <c r="AA22" i="6"/>
  <c r="AB22" i="6"/>
  <c r="AD22" i="6"/>
  <c r="AF22" i="6"/>
  <c r="AH22" i="6"/>
  <c r="AI29" i="4" l="1"/>
  <c r="AL28" i="4"/>
  <c r="AN8" i="7"/>
  <c r="AN9" i="7"/>
  <c r="AN11" i="7"/>
  <c r="AN12" i="7"/>
  <c r="AN13" i="7"/>
  <c r="AN14" i="7"/>
  <c r="AN15" i="7"/>
  <c r="AN16" i="7"/>
  <c r="AN17" i="7"/>
  <c r="AN18" i="7"/>
  <c r="AN19" i="7"/>
  <c r="AN20" i="7"/>
  <c r="AN22" i="7"/>
  <c r="AN23" i="7"/>
  <c r="AN24" i="7"/>
  <c r="AM8" i="7"/>
  <c r="AM9" i="7"/>
  <c r="AM11" i="7"/>
  <c r="AM12" i="7"/>
  <c r="AM13" i="7"/>
  <c r="AM14" i="7"/>
  <c r="AM15" i="7"/>
  <c r="AM16" i="7"/>
  <c r="AM17" i="7"/>
  <c r="AM18" i="7"/>
  <c r="AM19" i="7"/>
  <c r="AM20" i="7"/>
  <c r="AM22" i="7"/>
  <c r="AM23" i="7"/>
  <c r="AM24" i="7"/>
  <c r="AN6" i="7"/>
  <c r="AM6" i="7"/>
  <c r="AN9" i="6"/>
  <c r="AN10" i="6"/>
  <c r="AN11" i="6"/>
  <c r="AN14" i="6"/>
  <c r="AN15" i="6"/>
  <c r="AN16" i="6"/>
  <c r="AN17" i="6"/>
  <c r="AN18" i="6"/>
  <c r="AM9" i="6"/>
  <c r="AM10" i="6"/>
  <c r="AM11" i="6"/>
  <c r="AM14" i="6"/>
  <c r="AM15" i="6"/>
  <c r="AM16" i="6"/>
  <c r="AM17" i="6"/>
  <c r="AM18" i="6"/>
  <c r="AM4" i="3"/>
  <c r="AM4" i="4"/>
  <c r="AN4" i="5"/>
  <c r="AM4" i="5"/>
  <c r="AN5" i="5"/>
  <c r="AN6" i="5"/>
  <c r="AN7" i="5"/>
  <c r="AN9" i="5"/>
  <c r="AN12" i="5"/>
  <c r="AN14" i="5"/>
  <c r="AN15" i="5"/>
  <c r="AN17" i="5"/>
  <c r="AN18" i="5"/>
  <c r="AM5" i="5"/>
  <c r="AM6" i="5"/>
  <c r="AM7" i="5"/>
  <c r="AM9" i="5"/>
  <c r="AM12" i="5"/>
  <c r="AM14" i="5"/>
  <c r="AM15" i="5"/>
  <c r="AM17" i="5"/>
  <c r="AM18" i="5"/>
  <c r="AN4" i="4"/>
  <c r="AN5" i="4"/>
  <c r="AN6" i="4"/>
  <c r="AN7" i="4"/>
  <c r="AN8" i="4"/>
  <c r="AN9" i="4"/>
  <c r="AN10" i="4"/>
  <c r="AN11" i="4"/>
  <c r="AN12" i="4"/>
  <c r="AN13" i="4"/>
  <c r="AN14" i="4"/>
  <c r="AN15" i="4"/>
  <c r="AM5" i="4"/>
  <c r="AM6" i="4"/>
  <c r="AM7" i="4"/>
  <c r="AM8" i="4"/>
  <c r="AM9" i="4"/>
  <c r="AM10" i="4"/>
  <c r="AM11" i="4"/>
  <c r="AM12" i="4"/>
  <c r="AM13" i="4"/>
  <c r="AM14" i="4"/>
  <c r="AM15" i="4"/>
  <c r="AM16" i="4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M8" i="3"/>
  <c r="AQ8" i="3" s="1"/>
  <c r="AM9" i="3"/>
  <c r="AQ9" i="3" s="1"/>
  <c r="AM10" i="3"/>
  <c r="AQ10" i="3" s="1"/>
  <c r="AM11" i="3"/>
  <c r="AQ11" i="3" s="1"/>
  <c r="AM12" i="3"/>
  <c r="AQ12" i="3" s="1"/>
  <c r="AM13" i="3"/>
  <c r="AQ13" i="3" s="1"/>
  <c r="AM14" i="3"/>
  <c r="AQ14" i="3" s="1"/>
  <c r="AM15" i="3"/>
  <c r="AQ15" i="3" s="1"/>
  <c r="AM16" i="3"/>
  <c r="AQ16" i="3" s="1"/>
  <c r="AM17" i="3"/>
  <c r="AQ17" i="3" s="1"/>
  <c r="AM18" i="3"/>
  <c r="AQ18" i="3" s="1"/>
  <c r="AM19" i="3"/>
  <c r="AQ19" i="3" s="1"/>
  <c r="AM20" i="3"/>
  <c r="AQ20" i="3" s="1"/>
  <c r="AM21" i="3"/>
  <c r="AQ21" i="3" s="1"/>
  <c r="AM22" i="3"/>
  <c r="AQ22" i="3" s="1"/>
  <c r="AM23" i="3"/>
  <c r="AQ23" i="3" s="1"/>
  <c r="AN4" i="3"/>
  <c r="AN4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21" i="2"/>
  <c r="AN22" i="2"/>
  <c r="AN23" i="2"/>
  <c r="AN24" i="2"/>
  <c r="AN25" i="2"/>
  <c r="AN26" i="2"/>
  <c r="AN27" i="2"/>
  <c r="AM4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21" i="2"/>
  <c r="AM22" i="2"/>
  <c r="AM23" i="2"/>
  <c r="AM24" i="2"/>
  <c r="AM25" i="2"/>
  <c r="AM26" i="2"/>
  <c r="AM27" i="2"/>
  <c r="AN22" i="6" l="1"/>
  <c r="AN24" i="3"/>
  <c r="AQ4" i="3"/>
  <c r="AQ24" i="3" s="1"/>
  <c r="AM24" i="3"/>
  <c r="AM22" i="6"/>
  <c r="AN60" i="7"/>
  <c r="AN61" i="7" s="1"/>
  <c r="AN35" i="2"/>
  <c r="AM35" i="2"/>
  <c r="AM60" i="7"/>
  <c r="AM61" i="7" s="1"/>
  <c r="AN19" i="5"/>
  <c r="AM19" i="5"/>
  <c r="AN28" i="4"/>
  <c r="AN29" i="4" s="1"/>
  <c r="AM28" i="4"/>
  <c r="AM29" i="4" s="1"/>
  <c r="AH19" i="5"/>
  <c r="AF19" i="5"/>
  <c r="AD19" i="5"/>
  <c r="AB19" i="5"/>
  <c r="AA19" i="5"/>
  <c r="AI20" i="5"/>
  <c r="AH28" i="4"/>
  <c r="AF28" i="4"/>
  <c r="AD28" i="4"/>
  <c r="AB28" i="4"/>
  <c r="AA28" i="4"/>
  <c r="AG29" i="4"/>
  <c r="AH24" i="3"/>
  <c r="AF24" i="3"/>
  <c r="AD24" i="3"/>
  <c r="AB24" i="3"/>
  <c r="AA24" i="3"/>
  <c r="AG25" i="3"/>
  <c r="AL22" i="6" l="1"/>
  <c r="AI23" i="6"/>
  <c r="AL35" i="2"/>
  <c r="AG23" i="6"/>
  <c r="AL19" i="5"/>
  <c r="AG20" i="5"/>
  <c r="AN23" i="6"/>
  <c r="AM23" i="6"/>
  <c r="AM20" i="5"/>
  <c r="AN20" i="5"/>
  <c r="AM25" i="3"/>
  <c r="AN36" i="2"/>
  <c r="AM36" i="2"/>
  <c r="AN25" i="3"/>
  <c r="AE29" i="4"/>
  <c r="AC29" i="4"/>
  <c r="AE20" i="5"/>
  <c r="V20" i="5"/>
  <c r="AC20" i="5"/>
  <c r="Q23" i="6"/>
  <c r="Z23" i="6"/>
  <c r="AE23" i="6"/>
  <c r="V23" i="6"/>
  <c r="AC23" i="6"/>
  <c r="AE25" i="3"/>
  <c r="AG36" i="2"/>
  <c r="AE36" i="2"/>
</calcChain>
</file>

<file path=xl/sharedStrings.xml><?xml version="1.0" encoding="utf-8"?>
<sst xmlns="http://schemas.openxmlformats.org/spreadsheetml/2006/main" count="1468" uniqueCount="274">
  <si>
    <t>รหัสแขวง</t>
  </si>
  <si>
    <t>หมายเลขทางหลวง</t>
  </si>
  <si>
    <t>หมายเลขควบคุม</t>
  </si>
  <si>
    <t>ชื่อสายทาง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</si>
  <si>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</si>
  <si>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</si>
  <si>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</si>
  <si>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</si>
  <si>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</si>
  <si>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แขวงทางหลวงฉะเชิงเทรา</t>
  </si>
  <si>
    <t>คลองหลวงแพ่ง - ฉะเชิงเทรา</t>
  </si>
  <si>
    <t>บางปะกง - แสนภูดาษ</t>
  </si>
  <si>
    <t>แสนภูดาษ - ฉะเชิงเทรา</t>
  </si>
  <si>
    <t>ฉะเชิงเทรา - หัวไผ่</t>
  </si>
  <si>
    <t>โคกไทย - พนมสารคาม</t>
  </si>
  <si>
    <t>ทางเลี่ยงเมืองฉะเชิงเทราด้านเหนือ</t>
  </si>
  <si>
    <t>วังขอน - พนมสารคาม</t>
  </si>
  <si>
    <t>พนมสารคาม - อ่างฤาไน</t>
  </si>
  <si>
    <t>บางคล้า - แปลงยาว</t>
  </si>
  <si>
    <t>บางน้ำเปรี้ยว - บางขนาก</t>
  </si>
  <si>
    <t>หนองไม้แก่น - ลาดกระทิง</t>
  </si>
  <si>
    <t>บ้านโพธิ์ - แปลงยาว</t>
  </si>
  <si>
    <t>บางคล้า  - พนมสารคาม</t>
  </si>
  <si>
    <t>หนองปลาตะเพียน - หัวสำโรง</t>
  </si>
  <si>
    <t>ตลาดบางน้ำเปรี้ยว</t>
  </si>
  <si>
    <t>สนามชัยเขต - ห้วยน้ำใส</t>
  </si>
  <si>
    <t>บางควาย - เขาดิน</t>
  </si>
  <si>
    <t>แขวงทางหลวงชลบุรีที่ 1</t>
  </si>
  <si>
    <t>หัวไผ่ - ชลบุรี</t>
  </si>
  <si>
    <t>พนัสนิคม - หนองชาก</t>
  </si>
  <si>
    <t>ทางเลี่ยงเมืองชลบุรี</t>
  </si>
  <si>
    <t>มาบโป่ง - หัวไผ่</t>
  </si>
  <si>
    <t>หนองเสือช้าง - หนองเสือช่อ</t>
  </si>
  <si>
    <t>หนองเสือช่อ - หนองไม้แก่น</t>
  </si>
  <si>
    <t>พนัสนิคม - เกาะโพธิ์</t>
  </si>
  <si>
    <t>เนินหลังเต่า - หนองเสม็ด</t>
  </si>
  <si>
    <t>หนองชาก - เนินโมก</t>
  </si>
  <si>
    <t>เนินโมก - ทับร้าง</t>
  </si>
  <si>
    <t>บ้านเก่า - พานทอง</t>
  </si>
  <si>
    <t>เขาดิน - ดอนหัวฬ่อ</t>
  </si>
  <si>
    <t>ดอนหัวฬ่อ - หนองข้างคอก</t>
  </si>
  <si>
    <t>แขวงทางหลวงจันทบุรี</t>
  </si>
  <si>
    <t>ปากแซง - หน้าค่าย ตชด.</t>
  </si>
  <si>
    <t>หน้าค่าย ตชด. - พังงอน</t>
  </si>
  <si>
    <t>พังงอน - เขาแหลม</t>
  </si>
  <si>
    <t>พลิ้ว - แหลมสิงห์</t>
  </si>
  <si>
    <t>ท่าจุ๊ย - ท่าใหม่</t>
  </si>
  <si>
    <t>จันทบุรี - ท่าใหม่</t>
  </si>
  <si>
    <t>ทับไทร - เทพนิมิต</t>
  </si>
  <si>
    <t>เทพนิมิต - ตามูน</t>
  </si>
  <si>
    <t>พังงอน - จางวาง</t>
  </si>
  <si>
    <t>เขาไร่ยา - แพร่งขาหยั่ง</t>
  </si>
  <si>
    <t>เนินสูง - เขาสุกิม</t>
  </si>
  <si>
    <t>เขาสุกิม - ห้วยสะท้อน</t>
  </si>
  <si>
    <t>หนองขอน - จันทนิมิต</t>
  </si>
  <si>
    <t>บ้านแหลม - ทุ่งขนาน</t>
  </si>
  <si>
    <t>ชากไทย - ทุ่งจันดำ</t>
  </si>
  <si>
    <t>ทุ่งขนาน - ตาเรือง</t>
  </si>
  <si>
    <t>คลองทราย - จันทบุรี</t>
  </si>
  <si>
    <t>ท่าหลวง - ตลาดมะขาม</t>
  </si>
  <si>
    <t>บ้านถ้ำ - ยางระโหง</t>
  </si>
  <si>
    <t>แขวงทางหลวงตราด</t>
  </si>
  <si>
    <t>ตราด - แหลมศอก</t>
  </si>
  <si>
    <t>แหลมงอบ - แสนตุ้ง</t>
  </si>
  <si>
    <t>แสนตุ้ง - บ่อไร่</t>
  </si>
  <si>
    <t>บ่อไร่ - แหลมค้อ</t>
  </si>
  <si>
    <t>เขาสมิง - นนทรีย์</t>
  </si>
  <si>
    <t>ช้างทูน - โชคดี</t>
  </si>
  <si>
    <t>หนองระหาน - คลองเวฬุ</t>
  </si>
  <si>
    <t>คลองเวฬุ - นาวง</t>
  </si>
  <si>
    <t>ทางเดิมเขาท้ายไร่</t>
  </si>
  <si>
    <t>ทางเข้าพนมพริก</t>
  </si>
  <si>
    <t>แขวงทางหลวงระยอง</t>
  </si>
  <si>
    <t>ทางเลี่ยงเมืองระยอง</t>
  </si>
  <si>
    <t>บ้านแลง - หาดใหญ่</t>
  </si>
  <si>
    <t>บ้านค่าย - หนองละลอก</t>
  </si>
  <si>
    <t>อ่างเก็บน้ำหนองปลาไหล - เขาน้อย</t>
  </si>
  <si>
    <t>บ้านฉาง - ถนนซอย 13 ของนิคมสร้างตนเองจังหวัดระยอง</t>
  </si>
  <si>
    <t>ทางเข้าบ้านค่าย</t>
  </si>
  <si>
    <t>แยกนิคมพัฒนา - อ่างเก็บน้ำหนองปลาไหล</t>
  </si>
  <si>
    <t>แขวงทางหลวงชลบุรีที่ 2</t>
  </si>
  <si>
    <t>ห้วยใหญ่ - พันเสด็จนอก</t>
  </si>
  <si>
    <t>พันเสด็จนอก - หนองปรือ</t>
  </si>
  <si>
    <t>พลูตาหลวง - แสมสาร</t>
  </si>
  <si>
    <t>แยกอ่างศิลา - เขาสามมุข</t>
  </si>
  <si>
    <t>หนองปรือ - สำนักตะแบก</t>
  </si>
  <si>
    <t>สำนักตะแบก - เขาไม้แก้ว</t>
  </si>
  <si>
    <t>ศรีราชา - อ่างเก็บน้ำหนองค้อ</t>
  </si>
  <si>
    <t>อ่างเก็บน้ำหนองค้อ - มาบเอียง</t>
  </si>
  <si>
    <t>อนุสาวรีย์ ร.6 - สถานีรถไฟแสมสาร</t>
  </si>
  <si>
    <t>มาบปู - เขาน้อย</t>
  </si>
  <si>
    <t>หนองข่า - น้ำตกซันตาเถร</t>
  </si>
  <si>
    <t>ทางต่างระดับคีรี - พัทยา</t>
  </si>
  <si>
    <t>เขาน้อย - หนองเสือช้าง</t>
  </si>
  <si>
    <t>R2</t>
  </si>
  <si>
    <t>R1</t>
  </si>
  <si>
    <t>65+300</t>
  </si>
  <si>
    <t>52+000</t>
  </si>
  <si>
    <t>3+292</t>
  </si>
  <si>
    <t>0+000</t>
  </si>
  <si>
    <t>68+300</t>
  </si>
  <si>
    <t>47+000</t>
  </si>
  <si>
    <t>14+216</t>
  </si>
  <si>
    <t>9+000</t>
  </si>
  <si>
    <t>7+533</t>
  </si>
  <si>
    <t>12+000</t>
  </si>
  <si>
    <t>0+900</t>
  </si>
  <si>
    <t>18+174</t>
  </si>
  <si>
    <t>2+335</t>
  </si>
  <si>
    <t>125+400</t>
  </si>
  <si>
    <t>80+294</t>
  </si>
  <si>
    <t>รวม</t>
  </si>
  <si>
    <t>-</t>
  </si>
  <si>
    <t>เฉลี่ย</t>
  </si>
  <si>
    <t>A.C.</t>
  </si>
  <si>
    <t>7+475</t>
  </si>
  <si>
    <t>20+500</t>
  </si>
  <si>
    <t>แขวงทางหลวง</t>
  </si>
  <si>
    <t>สัตหีบ - ห้วยใหญ่</t>
  </si>
  <si>
    <t>10+000</t>
  </si>
  <si>
    <t>59+382</t>
  </si>
  <si>
    <t>40+505</t>
  </si>
  <si>
    <t>124+675</t>
  </si>
  <si>
    <t>125+440</t>
  </si>
  <si>
    <t>23+190</t>
  </si>
  <si>
    <t>15+792</t>
  </si>
  <si>
    <t>โป่งน้ำร้อน - จางวาง</t>
  </si>
  <si>
    <t>ทุ่งขนาน - ทับทิมสยาม05</t>
  </si>
  <si>
    <t>8+908</t>
  </si>
  <si>
    <t>ศูนย์ราชการระยอง - นิคมอุตสาหกรรมมาบตาพุด</t>
  </si>
  <si>
    <t>3+740</t>
  </si>
  <si>
    <t>7+949</t>
  </si>
  <si>
    <t>ทางรอบอ่างเก็บน้ำหนองปลาไหล</t>
  </si>
  <si>
    <t>154+143</t>
  </si>
  <si>
    <t>38+600</t>
  </si>
  <si>
    <t>39+475</t>
  </si>
  <si>
    <t>40+705</t>
  </si>
  <si>
    <t>40+735</t>
  </si>
  <si>
    <t>46+400</t>
  </si>
  <si>
    <t>47+800</t>
  </si>
  <si>
    <t>48+200</t>
  </si>
  <si>
    <t>แสนตุ้ง - หนองบัว</t>
  </si>
  <si>
    <t>31+887</t>
  </si>
  <si>
    <t>เนินสูง - ด่านชุมพล</t>
  </si>
  <si>
    <t>ขลุง - มะขาม</t>
  </si>
  <si>
    <t>24+815</t>
  </si>
  <si>
    <t>26+893</t>
  </si>
  <si>
    <t>บ้านโป่ง - บ่อไร่</t>
  </si>
  <si>
    <t>14+639</t>
  </si>
  <si>
    <t>ท่าประดู่ - ฉางเกลือ</t>
  </si>
  <si>
    <t>21+500</t>
  </si>
  <si>
    <t>81+504</t>
  </si>
  <si>
    <t>83+744</t>
  </si>
  <si>
    <t>84+594</t>
  </si>
  <si>
    <t>86+369</t>
  </si>
  <si>
    <t>87+519</t>
  </si>
  <si>
    <t>92+144</t>
  </si>
  <si>
    <t>98+644</t>
  </si>
  <si>
    <t>99+144</t>
  </si>
  <si>
    <t>100+844</t>
  </si>
  <si>
    <t>101+144</t>
  </si>
  <si>
    <t>102+204</t>
  </si>
  <si>
    <t>104+644</t>
  </si>
  <si>
    <t>105+444</t>
  </si>
  <si>
    <t>105+794</t>
  </si>
  <si>
    <t>106+744</t>
  </si>
  <si>
    <t>107+394</t>
  </si>
  <si>
    <t>107+694</t>
  </si>
  <si>
    <t>108+694</t>
  </si>
  <si>
    <t>109+094</t>
  </si>
  <si>
    <t>112+419</t>
  </si>
  <si>
    <t>112+594</t>
  </si>
  <si>
    <t>114+801</t>
  </si>
  <si>
    <t>118+147</t>
  </si>
  <si>
    <t>118+417</t>
  </si>
  <si>
    <t>118+892</t>
  </si>
  <si>
    <t>119+507</t>
  </si>
  <si>
    <t>120+108</t>
  </si>
  <si>
    <t>122+737</t>
  </si>
  <si>
    <t>123+382</t>
  </si>
  <si>
    <t>123+580</t>
  </si>
  <si>
    <t>124+141</t>
  </si>
  <si>
    <t>124+501</t>
  </si>
  <si>
    <t>125+094</t>
  </si>
  <si>
    <t>125+146</t>
  </si>
  <si>
    <t>101+074</t>
  </si>
  <si>
    <t>102+044</t>
  </si>
  <si>
    <t>106+794</t>
  </si>
  <si>
    <t>110+864</t>
  </si>
  <si>
    <t>109+199</t>
  </si>
  <si>
    <t>111+394</t>
  </si>
  <si>
    <t>114+819</t>
  </si>
  <si>
    <t>119+832</t>
  </si>
  <si>
    <t>118+356</t>
  </si>
  <si>
    <t>122+826</t>
  </si>
  <si>
    <t>120+622</t>
  </si>
  <si>
    <t>123+007</t>
  </si>
  <si>
    <t>122+896</t>
  </si>
  <si>
    <t>125+083</t>
  </si>
  <si>
    <t>124+672</t>
  </si>
  <si>
    <t>125+135</t>
  </si>
  <si>
    <t>16+800</t>
  </si>
  <si>
    <t>34+000</t>
  </si>
  <si>
    <t>เขาหาดยาว - สำนักท้อน</t>
  </si>
  <si>
    <t>14+487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</si>
  <si>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</si>
  <si>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</si>
  <si>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</si>
  <si>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68+119</t>
  </si>
  <si>
    <t>71+716</t>
  </si>
  <si>
    <t>C.C.</t>
  </si>
  <si>
    <t>71+429</t>
  </si>
  <si>
    <t>จำนวนแผ่นรอยเลื่อนต่างระดับของผิวทาง (แผ่น)</t>
  </si>
  <si>
    <t>25+781</t>
  </si>
  <si>
    <t>44+201</t>
  </si>
  <si>
    <t>ทางเข้าบ้านเพ</t>
  </si>
  <si>
    <t>0+100</t>
  </si>
  <si>
    <t>สำนักงานทางหลวงที่ 14 สรุปค่าความเสียหายของผิวลาดยาง แขวงทางหลวงฉะเชิงเทรา</t>
  </si>
  <si>
    <t>สำนักงานทางหลวงที่ 14 สรุปค่าความเสียหายของผิวคอนกรีต แขวงทางหลวงฉะเชิงเทรา</t>
  </si>
  <si>
    <t>สำนักงานทางหลวงที่ 14 สรุปค่าความเสียหายของผิวลาดยาง แขวงทางหลวงชลบุรีที่ 1</t>
  </si>
  <si>
    <t>สำนักงานทางหลวงที่ 14 สรุปค่าความเสียหายของผิวคอนกรีต แขวงทางหลวงชลบุรีที่ 1</t>
  </si>
  <si>
    <t>สำนักงานทางหลวงที่ 14 สรุปค่าความเสียหายของผิวลาดยาง แขวงทางหลวงจันทบุรี</t>
  </si>
  <si>
    <t>สำนักงานทางหลวงที่ 14 สรุปค่าความเสียหายของผิวลาดยาง แขวงทางหลวงตราด</t>
  </si>
  <si>
    <t>สำนักงานทางหลวงที่ 14 สรุปค่าความเสียหายของผิวลาดยาง แขวงทางหลวงระยอง</t>
  </si>
  <si>
    <t>สำนักงานทางหลวงที่ 14 สรุปค่าความเสียหายของผิวคอนกรีต แขวงทางหลวงระยอง</t>
  </si>
  <si>
    <t>สำนักงานทางหลวงที่ 14 ของผิวลาดยาง แขวงทางหลวงชลบุรีที่ 2</t>
  </si>
  <si>
    <t>L2</t>
  </si>
  <si>
    <t>L1</t>
  </si>
  <si>
    <t>บ้านเพ - ท่าเรือแกลง</t>
  </si>
  <si>
    <t>ท่าเรือแกลง - แหลมแม่พิมพ์</t>
  </si>
  <si>
    <t>บางบุตร - ชุมแสง</t>
  </si>
  <si>
    <t>43+201</t>
  </si>
  <si>
    <t>สำนักงานทางหลวงที่ 14 สรุปค่าความเสียหายของผิวคอนกรีต แขวงทางหลวงชลบุรีที่ 2</t>
  </si>
  <si>
    <t>cc</t>
  </si>
  <si>
    <t>หนองข่า - น้ำตกชันตาเถร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</si>
  <si>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</si>
  <si>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</si>
  <si>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</si>
  <si>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</si>
  <si>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</si>
  <si>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</si>
  <si>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</si>
  <si>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</si>
  <si>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</si>
  <si>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</si>
  <si>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</si>
  <si>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</si>
  <si>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</si>
  <si>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</si>
  <si>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</si>
  <si>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</si>
  <si>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</si>
  <si>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</si>
  <si>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</si>
  <si>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</si>
  <si>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</si>
  <si>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</si>
  <si>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</si>
  <si>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</si>
  <si>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</si>
  <si>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</si>
  <si>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</si>
  <si>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</si>
  <si>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</si>
  <si>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</si>
  <si>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</si>
  <si>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</si>
  <si>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</si>
  <si>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อ่างเก็บน้ำสียัด - หนองคอก</t>
  </si>
  <si>
    <t>บางวัว - บางควาย (ทางบริการด้านขวาทาง)</t>
  </si>
  <si>
    <t>บางวัว - บางควาย (ทางบริการด้านซ้ายทาง)</t>
  </si>
  <si>
    <t>ร้อยละ รอยแตก</t>
  </si>
  <si>
    <t>ร้อยละ รอยปะซ่อม</t>
  </si>
  <si>
    <t>รอยแตก  ต่อเนื่อง (ตารางเมตร)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</si>
</sst>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  <numFmt numFmtId="192" formatCode="000\+000"/>
    <numFmt numFmtId="193" formatCode="0.0"/>
    <numFmt numFmtId="194" formatCode="000&quot;+&quot;000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6"/>
      <color indexed="8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294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19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15" fillId="0" borderId="11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5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7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0" fillId="0" borderId="0" xfId="0"/>
    <xf numFmtId="188" fontId="2" fillId="0" borderId="0" xfId="0" applyNumberFormat="1" applyFont="1"/>
    <xf numFmtId="188" fontId="2" fillId="0" borderId="0" xfId="0" applyNumberFormat="1" applyFont="1" applyFill="1"/>
    <xf numFmtId="0" fontId="2" fillId="0" borderId="0" xfId="0" applyFont="1" applyFill="1"/>
    <xf numFmtId="188" fontId="2" fillId="0" borderId="0" xfId="0" applyNumberFormat="1" applyFont="1" applyFill="1" applyBorder="1"/>
    <xf numFmtId="0" fontId="0" fillId="0" borderId="0" xfId="0" applyFill="1"/>
    <xf numFmtId="188" fontId="6" fillId="0" borderId="2" xfId="4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91" fontId="6" fillId="0" borderId="2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91" fontId="6" fillId="0" borderId="2" xfId="0" applyNumberFormat="1" applyFont="1" applyBorder="1" applyAlignment="1">
      <alignment horizontal="center"/>
    </xf>
    <xf numFmtId="190" fontId="6" fillId="0" borderId="2" xfId="0" applyNumberFormat="1" applyFont="1" applyFill="1" applyBorder="1" applyAlignment="1">
      <alignment horizontal="center" vertical="center"/>
    </xf>
    <xf numFmtId="190" fontId="10" fillId="0" borderId="2" xfId="0" applyNumberFormat="1" applyFont="1" applyFill="1" applyBorder="1" applyAlignment="1">
      <alignment horizontal="center"/>
    </xf>
    <xf numFmtId="188" fontId="2" fillId="4" borderId="0" xfId="0" applyNumberFormat="1" applyFont="1" applyFill="1"/>
    <xf numFmtId="0" fontId="0" fillId="0" borderId="0" xfId="0" applyFill="1" applyBorder="1"/>
    <xf numFmtId="0" fontId="2" fillId="0" borderId="0" xfId="0" applyFont="1" applyFill="1" applyBorder="1"/>
    <xf numFmtId="0" fontId="0" fillId="0" borderId="8" xfId="0" applyFill="1" applyBorder="1"/>
    <xf numFmtId="0" fontId="2" fillId="0" borderId="8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  <xf numFmtId="188" fontId="0" fillId="3" borderId="0" xfId="0" applyNumberFormat="1" applyFill="1"/>
    <xf numFmtId="188" fontId="0" fillId="0" borderId="0" xfId="0" applyNumberFormat="1"/>
    <xf numFmtId="188" fontId="0" fillId="0" borderId="0" xfId="0" applyNumberFormat="1" applyFill="1"/>
    <xf numFmtId="0" fontId="6" fillId="0" borderId="2" xfId="4" applyFont="1" applyBorder="1" applyAlignment="1">
      <alignment horizontal="center"/>
    </xf>
    <xf numFmtId="0" fontId="11" fillId="0" borderId="2" xfId="4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 vertical="center"/>
    </xf>
    <xf numFmtId="190" fontId="6" fillId="4" borderId="2" xfId="0" applyNumberFormat="1" applyFont="1" applyFill="1" applyBorder="1" applyAlignment="1">
      <alignment horizontal="center"/>
    </xf>
    <xf numFmtId="0" fontId="9" fillId="4" borderId="2" xfId="4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88" fontId="6" fillId="4" borderId="2" xfId="0" applyNumberFormat="1" applyFont="1" applyFill="1" applyBorder="1" applyAlignment="1">
      <alignment horizontal="center"/>
    </xf>
    <xf numFmtId="188" fontId="2" fillId="4" borderId="0" xfId="0" applyNumberFormat="1" applyFont="1" applyFill="1" applyBorder="1"/>
    <xf numFmtId="188" fontId="9" fillId="0" borderId="2" xfId="4" applyNumberFormat="1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0" fillId="4" borderId="0" xfId="0" applyFill="1"/>
    <xf numFmtId="188" fontId="6" fillId="0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91" fontId="6" fillId="4" borderId="2" xfId="0" applyNumberFormat="1" applyFont="1" applyFill="1" applyBorder="1" applyAlignment="1">
      <alignment horizontal="center"/>
    </xf>
    <xf numFmtId="188" fontId="0" fillId="4" borderId="0" xfId="0" applyNumberFormat="1" applyFill="1"/>
    <xf numFmtId="188" fontId="6" fillId="0" borderId="2" xfId="4" applyNumberFormat="1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88" fontId="6" fillId="0" borderId="2" xfId="4" applyNumberFormat="1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7" fontId="8" fillId="0" borderId="0" xfId="2" applyFont="1" applyFill="1" applyBorder="1" applyAlignment="1">
      <alignment vertical="center" wrapText="1"/>
    </xf>
    <xf numFmtId="187" fontId="8" fillId="0" borderId="0" xfId="2" applyFont="1" applyFill="1" applyBorder="1" applyAlignment="1">
      <alignment horizontal="center" vertical="center" wrapText="1"/>
    </xf>
    <xf numFmtId="188" fontId="6" fillId="0" borderId="0" xfId="4" applyNumberFormat="1" applyFont="1" applyFill="1" applyBorder="1" applyAlignment="1">
      <alignment horizontal="center"/>
    </xf>
    <xf numFmtId="0" fontId="0" fillId="0" borderId="0" xfId="0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88" fontId="6" fillId="0" borderId="2" xfId="4" applyNumberFormat="1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7" fontId="8" fillId="0" borderId="0" xfId="2" applyFont="1" applyFill="1" applyBorder="1" applyAlignment="1">
      <alignment vertical="center" wrapText="1"/>
    </xf>
    <xf numFmtId="187" fontId="8" fillId="0" borderId="0" xfId="2" applyFont="1" applyFill="1" applyBorder="1" applyAlignment="1">
      <alignment horizontal="center" vertical="center" wrapText="1"/>
    </xf>
    <xf numFmtId="188" fontId="6" fillId="0" borderId="0" xfId="4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188" fontId="6" fillId="0" borderId="2" xfId="0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88" fontId="6" fillId="0" borderId="2" xfId="4" applyNumberFormat="1" applyFont="1" applyFill="1" applyBorder="1" applyAlignment="1">
      <alignment horizontal="center"/>
    </xf>
    <xf numFmtId="190" fontId="6" fillId="0" borderId="2" xfId="4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7" fontId="8" fillId="0" borderId="0" xfId="2" applyFont="1" applyFill="1" applyBorder="1" applyAlignment="1">
      <alignment vertical="center" wrapText="1"/>
    </xf>
    <xf numFmtId="187" fontId="8" fillId="0" borderId="0" xfId="2" applyFont="1" applyFill="1" applyBorder="1" applyAlignment="1">
      <alignment horizontal="center" vertical="center" wrapText="1"/>
    </xf>
    <xf numFmtId="188" fontId="6" fillId="0" borderId="0" xfId="4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" fontId="6" fillId="0" borderId="2" xfId="4" applyNumberFormat="1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1" fontId="6" fillId="0" borderId="2" xfId="4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top"/>
    </xf>
    <xf numFmtId="2" fontId="6" fillId="0" borderId="2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2" xfId="4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2" fontId="6" fillId="0" borderId="2" xfId="0" applyNumberFormat="1" applyFont="1" applyBorder="1" applyAlignment="1">
      <alignment horizontal="center"/>
    </xf>
    <xf numFmtId="193" fontId="0" fillId="0" borderId="0" xfId="0" applyNumberFormat="1"/>
    <xf numFmtId="0" fontId="6" fillId="0" borderId="2" xfId="4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 vertical="center"/>
    </xf>
    <xf numFmtId="1" fontId="12" fillId="0" borderId="3" xfId="2" applyNumberFormat="1" applyFont="1" applyFill="1" applyBorder="1" applyAlignment="1">
      <alignment horizontal="center" vertical="center"/>
    </xf>
    <xf numFmtId="1" fontId="12" fillId="0" borderId="3" xfId="2" applyNumberFormat="1" applyFont="1" applyFill="1" applyBorder="1" applyAlignment="1">
      <alignment horizontal="center" vertical="center" wrapText="1"/>
    </xf>
    <xf numFmtId="2" fontId="12" fillId="0" borderId="3" xfId="2" applyNumberFormat="1" applyFont="1" applyFill="1" applyBorder="1" applyAlignment="1">
      <alignment horizontal="center" vertical="center" wrapText="1"/>
    </xf>
    <xf numFmtId="1" fontId="12" fillId="0" borderId="2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8" fontId="6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188" fontId="6" fillId="0" borderId="2" xfId="0" applyNumberFormat="1" applyFont="1" applyFill="1" applyBorder="1" applyAlignment="1">
      <alignment horizontal="center"/>
    </xf>
    <xf numFmtId="187" fontId="8" fillId="0" borderId="0" xfId="2" applyFont="1" applyFill="1" applyBorder="1" applyAlignment="1">
      <alignment vertical="center" wrapText="1"/>
    </xf>
    <xf numFmtId="187" fontId="8" fillId="0" borderId="0" xfId="2" applyFont="1" applyFill="1" applyBorder="1" applyAlignment="1">
      <alignment horizontal="center" vertical="center" wrapText="1"/>
    </xf>
    <xf numFmtId="188" fontId="6" fillId="0" borderId="0" xfId="4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188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87" fontId="8" fillId="2" borderId="1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0" fontId="13" fillId="0" borderId="8" xfId="0" applyFont="1" applyFill="1" applyBorder="1"/>
    <xf numFmtId="0" fontId="14" fillId="0" borderId="8" xfId="0" applyFont="1" applyFill="1" applyBorder="1"/>
    <xf numFmtId="187" fontId="8" fillId="2" borderId="2" xfId="2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8" fontId="2" fillId="0" borderId="0" xfId="0" applyNumberFormat="1" applyFont="1" applyFill="1"/>
    <xf numFmtId="2" fontId="6" fillId="0" borderId="2" xfId="4" applyNumberFormat="1" applyFont="1" applyFill="1" applyBorder="1" applyAlignment="1">
      <alignment horizontal="center"/>
    </xf>
    <xf numFmtId="188" fontId="6" fillId="0" borderId="2" xfId="0" applyNumberFormat="1" applyFont="1" applyFill="1" applyBorder="1" applyAlignment="1">
      <alignment horizontal="center" vertical="center"/>
    </xf>
    <xf numFmtId="191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6" fillId="0" borderId="2" xfId="4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188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2" fontId="7" fillId="0" borderId="2" xfId="4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13" fillId="0" borderId="0" xfId="0" applyFont="1"/>
    <xf numFmtId="0" fontId="7" fillId="0" borderId="2" xfId="4" applyFont="1" applyBorder="1" applyAlignment="1">
      <alignment horizontal="center"/>
    </xf>
    <xf numFmtId="2" fontId="7" fillId="0" borderId="2" xfId="4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88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88" fontId="7" fillId="0" borderId="2" xfId="4" applyNumberFormat="1" applyFont="1" applyBorder="1" applyAlignment="1">
      <alignment horizontal="center"/>
    </xf>
    <xf numFmtId="188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8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88" fontId="7" fillId="0" borderId="1" xfId="4" applyNumberFormat="1" applyFont="1" applyBorder="1" applyAlignment="1">
      <alignment horizontal="center"/>
    </xf>
    <xf numFmtId="1" fontId="13" fillId="0" borderId="0" xfId="0" applyNumberFormat="1" applyFont="1"/>
    <xf numFmtId="187" fontId="8" fillId="2" borderId="7" xfId="2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/>
    </xf>
    <xf numFmtId="188" fontId="9" fillId="0" borderId="2" xfId="4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87" fontId="8" fillId="2" borderId="1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" fontId="8" fillId="2" borderId="1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189" fontId="8" fillId="2" borderId="1" xfId="1" applyNumberFormat="1" applyFont="1" applyFill="1" applyBorder="1" applyAlignment="1">
      <alignment horizontal="center" vertical="center" wrapText="1"/>
    </xf>
    <xf numFmtId="189" fontId="8" fillId="2" borderId="3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88" fontId="8" fillId="2" borderId="1" xfId="1" applyNumberFormat="1" applyFont="1" applyFill="1" applyBorder="1" applyAlignment="1">
      <alignment horizontal="center" vertical="center" wrapText="1"/>
    </xf>
    <xf numFmtId="188" fontId="8" fillId="2" borderId="3" xfId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1" fontId="8" fillId="2" borderId="1" xfId="1" applyNumberFormat="1" applyFont="1" applyFill="1" applyBorder="1" applyAlignment="1">
      <alignment horizontal="center" vertical="center" wrapText="1"/>
    </xf>
    <xf numFmtId="1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188" fontId="8" fillId="2" borderId="2" xfId="1" applyNumberFormat="1" applyFont="1" applyFill="1" applyBorder="1" applyAlignment="1">
      <alignment horizontal="center" vertical="center" wrapText="1"/>
    </xf>
    <xf numFmtId="189" fontId="8" fillId="2" borderId="2" xfId="1" applyNumberFormat="1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188" fontId="8" fillId="2" borderId="1" xfId="2" applyNumberFormat="1" applyFont="1" applyFill="1" applyBorder="1" applyAlignment="1">
      <alignment horizontal="center" vertical="center" wrapText="1"/>
    </xf>
    <xf numFmtId="188" fontId="8" fillId="2" borderId="3" xfId="2" applyNumberFormat="1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/>
    </xf>
    <xf numFmtId="0" fontId="6" fillId="0" borderId="9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3294">
    <cellStyle name="Comma 2" xfId="2"/>
    <cellStyle name="Comma 2 10" xfId="1933"/>
    <cellStyle name="Comma 2 10 2" xfId="2560"/>
    <cellStyle name="Comma 2 10 2 2" xfId="3275"/>
    <cellStyle name="Comma 2 10 3" xfId="3015"/>
    <cellStyle name="Comma 2 10 4" xfId="2947"/>
    <cellStyle name="Comma 2 11" xfId="1934"/>
    <cellStyle name="Comma 2 11 2" xfId="2561"/>
    <cellStyle name="Comma 2 11 2 2" xfId="3276"/>
    <cellStyle name="Comma 2 11 3" xfId="3016"/>
    <cellStyle name="Comma 2 11 4" xfId="2948"/>
    <cellStyle name="Comma 2 12" xfId="1935"/>
    <cellStyle name="Comma 2 12 2" xfId="2562"/>
    <cellStyle name="Comma 2 12 2 2" xfId="3277"/>
    <cellStyle name="Comma 2 12 3" xfId="3017"/>
    <cellStyle name="Comma 2 12 4" xfId="2949"/>
    <cellStyle name="Comma 2 13" xfId="1936"/>
    <cellStyle name="Comma 2 13 2" xfId="2563"/>
    <cellStyle name="Comma 2 13 2 2" xfId="3278"/>
    <cellStyle name="Comma 2 13 3" xfId="3018"/>
    <cellStyle name="Comma 2 13 4" xfId="2950"/>
    <cellStyle name="Comma 2 14" xfId="1937"/>
    <cellStyle name="Comma 2 14 2" xfId="2564"/>
    <cellStyle name="Comma 2 14 2 2" xfId="3279"/>
    <cellStyle name="Comma 2 14 3" xfId="3019"/>
    <cellStyle name="Comma 2 14 4" xfId="2951"/>
    <cellStyle name="Comma 2 15" xfId="1938"/>
    <cellStyle name="Comma 2 15 2" xfId="2565"/>
    <cellStyle name="Comma 2 15 2 2" xfId="3280"/>
    <cellStyle name="Comma 2 15 3" xfId="3020"/>
    <cellStyle name="Comma 2 15 4" xfId="2952"/>
    <cellStyle name="Comma 2 16" xfId="1939"/>
    <cellStyle name="Comma 2 16 2" xfId="2566"/>
    <cellStyle name="Comma 2 16 2 2" xfId="3281"/>
    <cellStyle name="Comma 2 16 3" xfId="3021"/>
    <cellStyle name="Comma 2 16 4" xfId="2953"/>
    <cellStyle name="Comma 2 17" xfId="1940"/>
    <cellStyle name="Comma 2 17 2" xfId="2567"/>
    <cellStyle name="Comma 2 17 2 2" xfId="3282"/>
    <cellStyle name="Comma 2 17 3" xfId="3022"/>
    <cellStyle name="Comma 2 17 4" xfId="2954"/>
    <cellStyle name="Comma 2 18" xfId="1941"/>
    <cellStyle name="Comma 2 18 2" xfId="2568"/>
    <cellStyle name="Comma 2 18 2 2" xfId="3283"/>
    <cellStyle name="Comma 2 18 3" xfId="3023"/>
    <cellStyle name="Comma 2 18 4" xfId="2955"/>
    <cellStyle name="Comma 2 19" xfId="1942"/>
    <cellStyle name="Comma 2 19 2" xfId="2569"/>
    <cellStyle name="Comma 2 19 2 2" xfId="3284"/>
    <cellStyle name="Comma 2 19 3" xfId="3024"/>
    <cellStyle name="Comma 2 19 4" xfId="2956"/>
    <cellStyle name="Comma 2 2" xfId="12"/>
    <cellStyle name="Comma 2 2 2" xfId="33"/>
    <cellStyle name="Comma 2 2 2 2" xfId="2625"/>
    <cellStyle name="Comma 2 2 2 2 2" xfId="3290"/>
    <cellStyle name="Comma 2 2 2 3" xfId="3026"/>
    <cellStyle name="Comma 2 2 2 4" xfId="3012"/>
    <cellStyle name="Comma 2 2 3" xfId="2236"/>
    <cellStyle name="Comma 2 2 3 2" xfId="3266"/>
    <cellStyle name="Comma 2 2 4" xfId="2281"/>
    <cellStyle name="Comma 2 2 4 2" xfId="3025"/>
    <cellStyle name="Comma 2 2 5" xfId="2667"/>
    <cellStyle name="Comma 2 2 6" xfId="18"/>
    <cellStyle name="Comma 2 20" xfId="1944"/>
    <cellStyle name="Comma 2 20 2" xfId="2570"/>
    <cellStyle name="Comma 2 20 2 2" xfId="3285"/>
    <cellStyle name="Comma 2 20 3" xfId="3027"/>
    <cellStyle name="Comma 2 20 4" xfId="2957"/>
    <cellStyle name="Comma 2 21" xfId="1945"/>
    <cellStyle name="Comma 2 21 2" xfId="2571"/>
    <cellStyle name="Comma 2 21 2 2" xfId="3286"/>
    <cellStyle name="Comma 2 21 3" xfId="3028"/>
    <cellStyle name="Comma 2 21 4" xfId="2958"/>
    <cellStyle name="Comma 2 22" xfId="1946"/>
    <cellStyle name="Comma 2 22 2" xfId="2572"/>
    <cellStyle name="Comma 2 22 2 2" xfId="3287"/>
    <cellStyle name="Comma 2 22 3" xfId="3029"/>
    <cellStyle name="Comma 2 22 4" xfId="2959"/>
    <cellStyle name="Comma 2 23" xfId="1947"/>
    <cellStyle name="Comma 2 23 2" xfId="2573"/>
    <cellStyle name="Comma 2 23 2 2" xfId="3288"/>
    <cellStyle name="Comma 2 23 3" xfId="3030"/>
    <cellStyle name="Comma 2 23 4" xfId="2960"/>
    <cellStyle name="Comma 2 24" xfId="1948"/>
    <cellStyle name="Comma 2 24 2" xfId="2574"/>
    <cellStyle name="Comma 2 24 2 2" xfId="3289"/>
    <cellStyle name="Comma 2 24 3" xfId="3031"/>
    <cellStyle name="Comma 2 24 4" xfId="2961"/>
    <cellStyle name="Comma 2 25" xfId="1932"/>
    <cellStyle name="Comma 2 26" xfId="2234"/>
    <cellStyle name="Comma 2 26 2" xfId="3263"/>
    <cellStyle name="Comma 2 27" xfId="2241"/>
    <cellStyle name="Comma 2 28" xfId="2244"/>
    <cellStyle name="Comma 2 29" xfId="2630"/>
    <cellStyle name="Comma 2 3" xfId="32"/>
    <cellStyle name="Comma 2 3 2" xfId="2321"/>
    <cellStyle name="Comma 2 3 2 2" xfId="3269"/>
    <cellStyle name="Comma 2 3 3" xfId="3032"/>
    <cellStyle name="Comma 2 3 4" xfId="2708"/>
    <cellStyle name="Comma 2 3 5" xfId="296"/>
    <cellStyle name="Comma 2 30" xfId="34"/>
    <cellStyle name="Comma 2 4" xfId="290"/>
    <cellStyle name="Comma 2 4 2" xfId="2315"/>
    <cellStyle name="Comma 2 4 2 2" xfId="3268"/>
    <cellStyle name="Comma 2 4 3" xfId="3033"/>
    <cellStyle name="Comma 2 4 4" xfId="2702"/>
    <cellStyle name="Comma 2 5" xfId="690"/>
    <cellStyle name="Comma 2 5 2" xfId="2365"/>
    <cellStyle name="Comma 2 5 2 2" xfId="3272"/>
    <cellStyle name="Comma 2 5 3" xfId="3034"/>
    <cellStyle name="Comma 2 5 4" xfId="2752"/>
    <cellStyle name="Comma 2 6" xfId="289"/>
    <cellStyle name="Comma 2 6 2" xfId="2314"/>
    <cellStyle name="Comma 2 6 2 2" xfId="3267"/>
    <cellStyle name="Comma 2 6 3" xfId="3035"/>
    <cellStyle name="Comma 2 6 4" xfId="2701"/>
    <cellStyle name="Comma 2 7" xfId="687"/>
    <cellStyle name="Comma 2 7 2" xfId="2362"/>
    <cellStyle name="Comma 2 7 2 2" xfId="3271"/>
    <cellStyle name="Comma 2 7 3" xfId="3036"/>
    <cellStyle name="Comma 2 7 4" xfId="2749"/>
    <cellStyle name="Comma 2 8" xfId="1105"/>
    <cellStyle name="Comma 2 8 2" xfId="2431"/>
    <cellStyle name="Comma 2 8 2 2" xfId="3273"/>
    <cellStyle name="Comma 2 8 3" xfId="3037"/>
    <cellStyle name="Comma 2 8 4" xfId="2818"/>
    <cellStyle name="Comma 2 9" xfId="475"/>
    <cellStyle name="Comma 2 9 2" xfId="2324"/>
    <cellStyle name="Comma 2 9 2 2" xfId="3270"/>
    <cellStyle name="Comma 2 9 3" xfId="3038"/>
    <cellStyle name="Comma 2 9 4" xfId="2711"/>
    <cellStyle name="Comma 26" xfId="3039"/>
    <cellStyle name="Comma 3" xfId="14"/>
    <cellStyle name="Comma 3 2" xfId="2559"/>
    <cellStyle name="Comma 3 2 2" xfId="3040"/>
    <cellStyle name="Comma 3 3" xfId="3274"/>
    <cellStyle name="Comma 3 4" xfId="2946"/>
    <cellStyle name="Comma 3 5" xfId="1929"/>
    <cellStyle name="Comma 3 6" xfId="31"/>
    <cellStyle name="Comma 4" xfId="1931"/>
    <cellStyle name="Comma 4 2" xfId="3041"/>
    <cellStyle name="Comma 5" xfId="2279"/>
    <cellStyle name="Comma 5 2" xfId="3042"/>
    <cellStyle name="Comma 5 3" xfId="3265"/>
    <cellStyle name="Comma 6" xfId="255"/>
    <cellStyle name="Normal" xfId="0" builtinId="0"/>
    <cellStyle name="Normal 10" xfId="62"/>
    <cellStyle name="Normal 10 10" xfId="1954"/>
    <cellStyle name="Normal 10 11" xfId="3043"/>
    <cellStyle name="Normal 10 2" xfId="303"/>
    <cellStyle name="Normal 10 3" xfId="487"/>
    <cellStyle name="Normal 10 4" xfId="697"/>
    <cellStyle name="Normal 10 5" xfId="906"/>
    <cellStyle name="Normal 10 6" xfId="1115"/>
    <cellStyle name="Normal 10 7" xfId="1321"/>
    <cellStyle name="Normal 10 8" xfId="1528"/>
    <cellStyle name="Normal 10 9" xfId="1730"/>
    <cellStyle name="Normal 100" xfId="3"/>
    <cellStyle name="Normal 101" xfId="1957"/>
    <cellStyle name="Normal 101 2" xfId="3044"/>
    <cellStyle name="Normal 102" xfId="58"/>
    <cellStyle name="Normal 103" xfId="1959"/>
    <cellStyle name="Normal 103 2" xfId="3045"/>
    <cellStyle name="Normal 104" xfId="1960"/>
    <cellStyle name="Normal 104 2" xfId="3046"/>
    <cellStyle name="Normal 105" xfId="1961"/>
    <cellStyle name="Normal 105 2" xfId="3047"/>
    <cellStyle name="Normal 106" xfId="5"/>
    <cellStyle name="Normal 106 2" xfId="2627"/>
    <cellStyle name="Normal 106 3" xfId="3014"/>
    <cellStyle name="Normal 107" xfId="4"/>
    <cellStyle name="Normal 107 2" xfId="2243"/>
    <cellStyle name="Normal 107 3" xfId="2232"/>
    <cellStyle name="Normal 108" xfId="2239"/>
    <cellStyle name="Normal 109" xfId="2628"/>
    <cellStyle name="Normal 11" xfId="2231"/>
    <cellStyle name="Normal 11 2" xfId="2626"/>
    <cellStyle name="Normal 11 2 2" xfId="3048"/>
    <cellStyle name="Normal 11 3" xfId="3013"/>
    <cellStyle name="Normal 110" xfId="10"/>
    <cellStyle name="Normal 111" xfId="3293"/>
    <cellStyle name="Normal 112" xfId="35"/>
    <cellStyle name="Normal 112 10" xfId="1965"/>
    <cellStyle name="Normal 112 10 2" xfId="2579"/>
    <cellStyle name="Normal 112 10 3" xfId="2966"/>
    <cellStyle name="Normal 112 11" xfId="2631"/>
    <cellStyle name="Normal 112 2" xfId="7"/>
    <cellStyle name="Normal 112 2 2" xfId="2242"/>
    <cellStyle name="Normal 112 2 3" xfId="2668"/>
    <cellStyle name="Normal 112 3" xfId="295"/>
    <cellStyle name="Normal 112 3 2" xfId="2320"/>
    <cellStyle name="Normal 112 3 3" xfId="2707"/>
    <cellStyle name="Normal 112 4" xfId="481"/>
    <cellStyle name="Normal 112 4 2" xfId="2330"/>
    <cellStyle name="Normal 112 4 3" xfId="2717"/>
    <cellStyle name="Normal 112 5" xfId="689"/>
    <cellStyle name="Normal 112 5 2" xfId="2364"/>
    <cellStyle name="Normal 112 5 3" xfId="2751"/>
    <cellStyle name="Normal 112 6" xfId="901"/>
    <cellStyle name="Normal 112 6 2" xfId="2401"/>
    <cellStyle name="Normal 112 6 3" xfId="2788"/>
    <cellStyle name="Normal 112 7" xfId="1109"/>
    <cellStyle name="Normal 112 7 2" xfId="2435"/>
    <cellStyle name="Normal 112 7 3" xfId="2822"/>
    <cellStyle name="Normal 112 8" xfId="1110"/>
    <cellStyle name="Normal 112 8 2" xfId="2436"/>
    <cellStyle name="Normal 112 8 3" xfId="2823"/>
    <cellStyle name="Normal 112 9" xfId="1524"/>
    <cellStyle name="Normal 112 9 2" xfId="2501"/>
    <cellStyle name="Normal 112 9 3" xfId="2888"/>
    <cellStyle name="Normal 113" xfId="36"/>
    <cellStyle name="Normal 113 10" xfId="1964"/>
    <cellStyle name="Normal 113 10 2" xfId="2578"/>
    <cellStyle name="Normal 113 10 3" xfId="2965"/>
    <cellStyle name="Normal 113 11" xfId="2246"/>
    <cellStyle name="Normal 113 12" xfId="2632"/>
    <cellStyle name="Normal 113 2" xfId="21"/>
    <cellStyle name="Normal 113 2 2" xfId="2282"/>
    <cellStyle name="Normal 113 2 3" xfId="2669"/>
    <cellStyle name="Normal 113 3" xfId="294"/>
    <cellStyle name="Normal 113 3 2" xfId="2319"/>
    <cellStyle name="Normal 113 3 3" xfId="2706"/>
    <cellStyle name="Normal 113 4" xfId="480"/>
    <cellStyle name="Normal 113 4 2" xfId="2329"/>
    <cellStyle name="Normal 113 4 3" xfId="2716"/>
    <cellStyle name="Normal 113 5" xfId="298"/>
    <cellStyle name="Normal 113 5 2" xfId="2323"/>
    <cellStyle name="Normal 113 5 3" xfId="2710"/>
    <cellStyle name="Normal 113 6" xfId="900"/>
    <cellStyle name="Normal 113 6 2" xfId="2400"/>
    <cellStyle name="Normal 113 6 3" xfId="2787"/>
    <cellStyle name="Normal 113 7" xfId="1108"/>
    <cellStyle name="Normal 113 7 2" xfId="2434"/>
    <cellStyle name="Normal 113 7 3" xfId="2821"/>
    <cellStyle name="Normal 113 8" xfId="1111"/>
    <cellStyle name="Normal 113 8 2" xfId="2437"/>
    <cellStyle name="Normal 113 8 3" xfId="2824"/>
    <cellStyle name="Normal 113 9" xfId="1523"/>
    <cellStyle name="Normal 113 9 2" xfId="2500"/>
    <cellStyle name="Normal 113 9 3" xfId="2887"/>
    <cellStyle name="Normal 114" xfId="37"/>
    <cellStyle name="Normal 114 10" xfId="1963"/>
    <cellStyle name="Normal 114 10 2" xfId="2577"/>
    <cellStyle name="Normal 114 10 3" xfId="2964"/>
    <cellStyle name="Normal 114 11" xfId="2247"/>
    <cellStyle name="Normal 114 12" xfId="2633"/>
    <cellStyle name="Normal 114 2" xfId="24"/>
    <cellStyle name="Normal 114 2 2" xfId="2283"/>
    <cellStyle name="Normal 114 2 3" xfId="2670"/>
    <cellStyle name="Normal 114 3" xfId="293"/>
    <cellStyle name="Normal 114 3 2" xfId="2318"/>
    <cellStyle name="Normal 114 3 3" xfId="2705"/>
    <cellStyle name="Normal 114 4" xfId="479"/>
    <cellStyle name="Normal 114 4 2" xfId="2328"/>
    <cellStyle name="Normal 114 4 3" xfId="2715"/>
    <cellStyle name="Normal 114 5" xfId="482"/>
    <cellStyle name="Normal 114 5 2" xfId="2331"/>
    <cellStyle name="Normal 114 5 3" xfId="2718"/>
    <cellStyle name="Normal 114 6" xfId="899"/>
    <cellStyle name="Normal 114 6 2" xfId="2399"/>
    <cellStyle name="Normal 114 6 3" xfId="2786"/>
    <cellStyle name="Normal 114 7" xfId="1107"/>
    <cellStyle name="Normal 114 7 2" xfId="2433"/>
    <cellStyle name="Normal 114 7 3" xfId="2820"/>
    <cellStyle name="Normal 114 8" xfId="1176"/>
    <cellStyle name="Normal 114 8 2" xfId="2442"/>
    <cellStyle name="Normal 114 8 3" xfId="2829"/>
    <cellStyle name="Normal 114 9" xfId="1522"/>
    <cellStyle name="Normal 114 9 2" xfId="2499"/>
    <cellStyle name="Normal 114 9 3" xfId="2886"/>
    <cellStyle name="Normal 115" xfId="38"/>
    <cellStyle name="Normal 115 10" xfId="1962"/>
    <cellStyle name="Normal 115 10 2" xfId="2576"/>
    <cellStyle name="Normal 115 10 3" xfId="2963"/>
    <cellStyle name="Normal 115 11" xfId="2245"/>
    <cellStyle name="Normal 115 12" xfId="2634"/>
    <cellStyle name="Normal 115 2" xfId="25"/>
    <cellStyle name="Normal 115 2 2" xfId="2284"/>
    <cellStyle name="Normal 115 2 3" xfId="2671"/>
    <cellStyle name="Normal 115 3" xfId="292"/>
    <cellStyle name="Normal 115 3 2" xfId="2317"/>
    <cellStyle name="Normal 115 3 3" xfId="2704"/>
    <cellStyle name="Normal 115 4" xfId="478"/>
    <cellStyle name="Normal 115 4 2" xfId="2327"/>
    <cellStyle name="Normal 115 4 3" xfId="2714"/>
    <cellStyle name="Normal 115 5" xfId="483"/>
    <cellStyle name="Normal 115 5 2" xfId="2332"/>
    <cellStyle name="Normal 115 5 3" xfId="2719"/>
    <cellStyle name="Normal 115 6" xfId="898"/>
    <cellStyle name="Normal 115 6 2" xfId="2398"/>
    <cellStyle name="Normal 115 6 3" xfId="2785"/>
    <cellStyle name="Normal 115 7" xfId="476"/>
    <cellStyle name="Normal 115 7 2" xfId="2325"/>
    <cellStyle name="Normal 115 7 3" xfId="2712"/>
    <cellStyle name="Normal 115 8" xfId="692"/>
    <cellStyle name="Normal 115 8 2" xfId="2367"/>
    <cellStyle name="Normal 115 8 3" xfId="2754"/>
    <cellStyle name="Normal 115 9" xfId="1521"/>
    <cellStyle name="Normal 115 9 2" xfId="2498"/>
    <cellStyle name="Normal 115 9 3" xfId="2885"/>
    <cellStyle name="Normal 116" xfId="39"/>
    <cellStyle name="Normal 116 10" xfId="1958"/>
    <cellStyle name="Normal 116 10 2" xfId="2575"/>
    <cellStyle name="Normal 116 10 3" xfId="2962"/>
    <cellStyle name="Normal 116 11" xfId="2248"/>
    <cellStyle name="Normal 116 12" xfId="2635"/>
    <cellStyle name="Normal 116 2" xfId="20"/>
    <cellStyle name="Normal 116 2 2" xfId="2285"/>
    <cellStyle name="Normal 116 2 3" xfId="2672"/>
    <cellStyle name="Normal 116 3" xfId="291"/>
    <cellStyle name="Normal 116 3 2" xfId="2316"/>
    <cellStyle name="Normal 116 3 3" xfId="2703"/>
    <cellStyle name="Normal 116 4" xfId="477"/>
    <cellStyle name="Normal 116 4 2" xfId="2326"/>
    <cellStyle name="Normal 116 4 3" xfId="2713"/>
    <cellStyle name="Normal 116 5" xfId="548"/>
    <cellStyle name="Normal 116 5 2" xfId="2337"/>
    <cellStyle name="Normal 116 5 3" xfId="2724"/>
    <cellStyle name="Normal 116 6" xfId="897"/>
    <cellStyle name="Normal 116 6 2" xfId="2397"/>
    <cellStyle name="Normal 116 6 3" xfId="2784"/>
    <cellStyle name="Normal 116 7" xfId="902"/>
    <cellStyle name="Normal 116 7 2" xfId="2402"/>
    <cellStyle name="Normal 116 7 3" xfId="2789"/>
    <cellStyle name="Normal 116 8" xfId="758"/>
    <cellStyle name="Normal 116 8 2" xfId="2372"/>
    <cellStyle name="Normal 116 8 3" xfId="2759"/>
    <cellStyle name="Normal 116 9" xfId="1520"/>
    <cellStyle name="Normal 116 9 2" xfId="2497"/>
    <cellStyle name="Normal 116 9 3" xfId="2884"/>
    <cellStyle name="Normal 12" xfId="1966"/>
    <cellStyle name="Normal 12 2" xfId="3049"/>
    <cellStyle name="Normal 13" xfId="63"/>
    <cellStyle name="Normal 13 10" xfId="1953"/>
    <cellStyle name="Normal 13 11" xfId="3050"/>
    <cellStyle name="Normal 13 2" xfId="304"/>
    <cellStyle name="Normal 13 3" xfId="488"/>
    <cellStyle name="Normal 13 4" xfId="698"/>
    <cellStyle name="Normal 13 5" xfId="907"/>
    <cellStyle name="Normal 13 6" xfId="1116"/>
    <cellStyle name="Normal 13 7" xfId="1322"/>
    <cellStyle name="Normal 13 8" xfId="1529"/>
    <cellStyle name="Normal 13 9" xfId="1731"/>
    <cellStyle name="Normal 14" xfId="64"/>
    <cellStyle name="Normal 14 10" xfId="1952"/>
    <cellStyle name="Normal 14 11" xfId="3051"/>
    <cellStyle name="Normal 14 2" xfId="305"/>
    <cellStyle name="Normal 14 3" xfId="489"/>
    <cellStyle name="Normal 14 4" xfId="699"/>
    <cellStyle name="Normal 14 5" xfId="908"/>
    <cellStyle name="Normal 14 6" xfId="1117"/>
    <cellStyle name="Normal 14 7" xfId="1323"/>
    <cellStyle name="Normal 14 8" xfId="1530"/>
    <cellStyle name="Normal 14 9" xfId="1732"/>
    <cellStyle name="Normal 15" xfId="8"/>
    <cellStyle name="Normal 15 10" xfId="1951"/>
    <cellStyle name="Normal 15 11" xfId="3052"/>
    <cellStyle name="Normal 15 2" xfId="306"/>
    <cellStyle name="Normal 15 3" xfId="490"/>
    <cellStyle name="Normal 15 4" xfId="700"/>
    <cellStyle name="Normal 15 5" xfId="909"/>
    <cellStyle name="Normal 15 6" xfId="1118"/>
    <cellStyle name="Normal 15 7" xfId="1324"/>
    <cellStyle name="Normal 15 8" xfId="1531"/>
    <cellStyle name="Normal 15 9" xfId="1733"/>
    <cellStyle name="Normal 16" xfId="65"/>
    <cellStyle name="Normal 16 10" xfId="1950"/>
    <cellStyle name="Normal 16 11" xfId="3053"/>
    <cellStyle name="Normal 16 2" xfId="307"/>
    <cellStyle name="Normal 16 3" xfId="491"/>
    <cellStyle name="Normal 16 4" xfId="701"/>
    <cellStyle name="Normal 16 5" xfId="910"/>
    <cellStyle name="Normal 16 6" xfId="1119"/>
    <cellStyle name="Normal 16 7" xfId="1325"/>
    <cellStyle name="Normal 16 8" xfId="1532"/>
    <cellStyle name="Normal 16 9" xfId="1734"/>
    <cellStyle name="Normal 17" xfId="66"/>
    <cellStyle name="Normal 17 10" xfId="1949"/>
    <cellStyle name="Normal 17 11" xfId="3054"/>
    <cellStyle name="Normal 17 2" xfId="308"/>
    <cellStyle name="Normal 17 3" xfId="492"/>
    <cellStyle name="Normal 17 4" xfId="702"/>
    <cellStyle name="Normal 17 5" xfId="911"/>
    <cellStyle name="Normal 17 6" xfId="1120"/>
    <cellStyle name="Normal 17 7" xfId="1326"/>
    <cellStyle name="Normal 17 8" xfId="1533"/>
    <cellStyle name="Normal 17 9" xfId="1735"/>
    <cellStyle name="Normal 18" xfId="67"/>
    <cellStyle name="Normal 18 10" xfId="1943"/>
    <cellStyle name="Normal 18 11" xfId="3055"/>
    <cellStyle name="Normal 18 2" xfId="309"/>
    <cellStyle name="Normal 18 3" xfId="493"/>
    <cellStyle name="Normal 18 4" xfId="703"/>
    <cellStyle name="Normal 18 5" xfId="912"/>
    <cellStyle name="Normal 18 6" xfId="1121"/>
    <cellStyle name="Normal 18 7" xfId="1327"/>
    <cellStyle name="Normal 18 8" xfId="1534"/>
    <cellStyle name="Normal 18 9" xfId="1736"/>
    <cellStyle name="Normal 19" xfId="68"/>
    <cellStyle name="Normal 19 10" xfId="2038"/>
    <cellStyle name="Normal 19 11" xfId="3056"/>
    <cellStyle name="Normal 19 2" xfId="310"/>
    <cellStyle name="Normal 19 3" xfId="494"/>
    <cellStyle name="Normal 19 4" xfId="704"/>
    <cellStyle name="Normal 19 5" xfId="913"/>
    <cellStyle name="Normal 19 6" xfId="1122"/>
    <cellStyle name="Normal 19 7" xfId="1328"/>
    <cellStyle name="Normal 19 8" xfId="1535"/>
    <cellStyle name="Normal 19 9" xfId="1737"/>
    <cellStyle name="Normal 2" xfId="1"/>
    <cellStyle name="Normal 2 10" xfId="11"/>
    <cellStyle name="Normal 2 10 2" xfId="2230"/>
    <cellStyle name="Normal 2 10 2 2" xfId="2238"/>
    <cellStyle name="Normal 2 10 2 3" xfId="2624"/>
    <cellStyle name="Normal 2 10 2 4" xfId="3011"/>
    <cellStyle name="Normal 2 10 3" xfId="2235"/>
    <cellStyle name="Normal 2 10 4" xfId="2530"/>
    <cellStyle name="Normal 2 10 5" xfId="2917"/>
    <cellStyle name="Normal 2 11" xfId="1968"/>
    <cellStyle name="Normal 2 11 2" xfId="2580"/>
    <cellStyle name="Normal 2 11 3" xfId="2967"/>
    <cellStyle name="Normal 2 12" xfId="1969"/>
    <cellStyle name="Normal 2 12 2" xfId="2581"/>
    <cellStyle name="Normal 2 12 3" xfId="2968"/>
    <cellStyle name="Normal 2 13" xfId="1970"/>
    <cellStyle name="Normal 2 13 2" xfId="2582"/>
    <cellStyle name="Normal 2 13 3" xfId="2969"/>
    <cellStyle name="Normal 2 14" xfId="1971"/>
    <cellStyle name="Normal 2 14 2" xfId="2583"/>
    <cellStyle name="Normal 2 14 3" xfId="2970"/>
    <cellStyle name="Normal 2 15" xfId="1972"/>
    <cellStyle name="Normal 2 15 2" xfId="2584"/>
    <cellStyle name="Normal 2 15 3" xfId="2971"/>
    <cellStyle name="Normal 2 16" xfId="1973"/>
    <cellStyle name="Normal 2 16 2" xfId="2585"/>
    <cellStyle name="Normal 2 16 3" xfId="2972"/>
    <cellStyle name="Normal 2 17" xfId="1974"/>
    <cellStyle name="Normal 2 17 2" xfId="2586"/>
    <cellStyle name="Normal 2 17 3" xfId="2973"/>
    <cellStyle name="Normal 2 18" xfId="1975"/>
    <cellStyle name="Normal 2 18 2" xfId="2587"/>
    <cellStyle name="Normal 2 18 3" xfId="2974"/>
    <cellStyle name="Normal 2 19" xfId="1976"/>
    <cellStyle name="Normal 2 19 2" xfId="2588"/>
    <cellStyle name="Normal 2 19 3" xfId="2975"/>
    <cellStyle name="Normal 2 2" xfId="16"/>
    <cellStyle name="Normal 2 2 10" xfId="1978"/>
    <cellStyle name="Normal 2 2 11" xfId="1979"/>
    <cellStyle name="Normal 2 2 12" xfId="1980"/>
    <cellStyle name="Normal 2 2 13" xfId="1981"/>
    <cellStyle name="Normal 2 2 14" xfId="1982"/>
    <cellStyle name="Normal 2 2 15" xfId="1983"/>
    <cellStyle name="Normal 2 2 16" xfId="1984"/>
    <cellStyle name="Normal 2 2 17" xfId="1985"/>
    <cellStyle name="Normal 2 2 18" xfId="1986"/>
    <cellStyle name="Normal 2 2 19" xfId="1987"/>
    <cellStyle name="Normal 2 2 2" xfId="1988"/>
    <cellStyle name="Normal 2 2 20" xfId="1989"/>
    <cellStyle name="Normal 2 2 21" xfId="1990"/>
    <cellStyle name="Normal 2 2 22" xfId="1991"/>
    <cellStyle name="Normal 2 2 23" xfId="1992"/>
    <cellStyle name="Normal 2 2 24" xfId="1993"/>
    <cellStyle name="Normal 2 2 25" xfId="1977"/>
    <cellStyle name="Normal 2 2 25 2" xfId="2589"/>
    <cellStyle name="Normal 2 2 25 3" xfId="2976"/>
    <cellStyle name="Normal 2 2 26" xfId="115"/>
    <cellStyle name="Normal 2 2 3" xfId="1994"/>
    <cellStyle name="Normal 2 2 4" xfId="1995"/>
    <cellStyle name="Normal 2 2 5" xfId="1996"/>
    <cellStyle name="Normal 2 2 6" xfId="1997"/>
    <cellStyle name="Normal 2 2 7" xfId="1998"/>
    <cellStyle name="Normal 2 2 8" xfId="1999"/>
    <cellStyle name="Normal 2 2 9" xfId="2000"/>
    <cellStyle name="Normal 2 20" xfId="2001"/>
    <cellStyle name="Normal 2 20 2" xfId="2590"/>
    <cellStyle name="Normal 2 20 3" xfId="2977"/>
    <cellStyle name="Normal 2 21" xfId="2002"/>
    <cellStyle name="Normal 2 21 2" xfId="2591"/>
    <cellStyle name="Normal 2 21 3" xfId="2978"/>
    <cellStyle name="Normal 2 22" xfId="2003"/>
    <cellStyle name="Normal 2 22 2" xfId="2592"/>
    <cellStyle name="Normal 2 22 3" xfId="2979"/>
    <cellStyle name="Normal 2 23" xfId="2004"/>
    <cellStyle name="Normal 2 23 2" xfId="2593"/>
    <cellStyle name="Normal 2 23 3" xfId="2980"/>
    <cellStyle name="Normal 2 24" xfId="2005"/>
    <cellStyle name="Normal 2 24 2" xfId="2594"/>
    <cellStyle name="Normal 2 24 3" xfId="2981"/>
    <cellStyle name="Normal 2 25" xfId="1967"/>
    <cellStyle name="Normal 2 26" xfId="2233"/>
    <cellStyle name="Normal 2 27" xfId="2240"/>
    <cellStyle name="Normal 2 28" xfId="2629"/>
    <cellStyle name="Normal 2 29" xfId="15"/>
    <cellStyle name="Normal 2 3" xfId="256"/>
    <cellStyle name="Normal 2 3 2" xfId="2280"/>
    <cellStyle name="Normal 2 3 3" xfId="2666"/>
    <cellStyle name="Normal 2 4" xfId="297"/>
    <cellStyle name="Normal 2 4 2" xfId="2322"/>
    <cellStyle name="Normal 2 4 3" xfId="2709"/>
    <cellStyle name="Normal 2 5" xfId="688"/>
    <cellStyle name="Normal 2 5 2" xfId="2363"/>
    <cellStyle name="Normal 2 5 3" xfId="2750"/>
    <cellStyle name="Normal 2 6" xfId="691"/>
    <cellStyle name="Normal 2 6 2" xfId="2366"/>
    <cellStyle name="Normal 2 6 3" xfId="2753"/>
    <cellStyle name="Normal 2 7" xfId="1106"/>
    <cellStyle name="Normal 2 7 2" xfId="2432"/>
    <cellStyle name="Normal 2 7 3" xfId="2819"/>
    <cellStyle name="Normal 2 8" xfId="1316"/>
    <cellStyle name="Normal 2 8 2" xfId="2467"/>
    <cellStyle name="Normal 2 8 3" xfId="2854"/>
    <cellStyle name="Normal 2 9" xfId="1317"/>
    <cellStyle name="Normal 2 9 2" xfId="2468"/>
    <cellStyle name="Normal 2 9 3" xfId="2855"/>
    <cellStyle name="Normal 20" xfId="69"/>
    <cellStyle name="Normal 20 10" xfId="2039"/>
    <cellStyle name="Normal 20 11" xfId="3057"/>
    <cellStyle name="Normal 20 2" xfId="311"/>
    <cellStyle name="Normal 20 3" xfId="495"/>
    <cellStyle name="Normal 20 4" xfId="705"/>
    <cellStyle name="Normal 20 5" xfId="914"/>
    <cellStyle name="Normal 20 6" xfId="1123"/>
    <cellStyle name="Normal 20 7" xfId="1329"/>
    <cellStyle name="Normal 20 8" xfId="1536"/>
    <cellStyle name="Normal 20 9" xfId="1738"/>
    <cellStyle name="Normal 21" xfId="70"/>
    <cellStyle name="Normal 21 10" xfId="2040"/>
    <cellStyle name="Normal 21 11" xfId="3058"/>
    <cellStyle name="Normal 21 2" xfId="312"/>
    <cellStyle name="Normal 21 3" xfId="496"/>
    <cellStyle name="Normal 21 4" xfId="706"/>
    <cellStyle name="Normal 21 5" xfId="915"/>
    <cellStyle name="Normal 21 6" xfId="1124"/>
    <cellStyle name="Normal 21 7" xfId="1330"/>
    <cellStyle name="Normal 21 8" xfId="1537"/>
    <cellStyle name="Normal 21 9" xfId="1739"/>
    <cellStyle name="Normal 22" xfId="71"/>
    <cellStyle name="Normal 22 10" xfId="2041"/>
    <cellStyle name="Normal 22 11" xfId="3059"/>
    <cellStyle name="Normal 22 2" xfId="313"/>
    <cellStyle name="Normal 22 3" xfId="497"/>
    <cellStyle name="Normal 22 4" xfId="707"/>
    <cellStyle name="Normal 22 5" xfId="916"/>
    <cellStyle name="Normal 22 6" xfId="1125"/>
    <cellStyle name="Normal 22 7" xfId="1331"/>
    <cellStyle name="Normal 22 8" xfId="1538"/>
    <cellStyle name="Normal 22 9" xfId="1740"/>
    <cellStyle name="Normal 23" xfId="2006"/>
    <cellStyle name="Normal 23 2" xfId="3060"/>
    <cellStyle name="Normal 24" xfId="9"/>
    <cellStyle name="Normal 24 10" xfId="2042"/>
    <cellStyle name="Normal 24 11" xfId="3061"/>
    <cellStyle name="Normal 24 2" xfId="314"/>
    <cellStyle name="Normal 24 3" xfId="498"/>
    <cellStyle name="Normal 24 4" xfId="708"/>
    <cellStyle name="Normal 24 5" xfId="917"/>
    <cellStyle name="Normal 24 6" xfId="1126"/>
    <cellStyle name="Normal 24 7" xfId="1332"/>
    <cellStyle name="Normal 24 8" xfId="1539"/>
    <cellStyle name="Normal 24 9" xfId="1741"/>
    <cellStyle name="Normal 25" xfId="72"/>
    <cellStyle name="Normal 25 10" xfId="2043"/>
    <cellStyle name="Normal 25 11" xfId="3062"/>
    <cellStyle name="Normal 25 2" xfId="315"/>
    <cellStyle name="Normal 25 3" xfId="499"/>
    <cellStyle name="Normal 25 4" xfId="709"/>
    <cellStyle name="Normal 25 5" xfId="918"/>
    <cellStyle name="Normal 25 6" xfId="1127"/>
    <cellStyle name="Normal 25 7" xfId="1333"/>
    <cellStyle name="Normal 25 8" xfId="1540"/>
    <cellStyle name="Normal 25 9" xfId="1742"/>
    <cellStyle name="Normal 26" xfId="73"/>
    <cellStyle name="Normal 26 10" xfId="2044"/>
    <cellStyle name="Normal 26 11" xfId="3063"/>
    <cellStyle name="Normal 26 2" xfId="316"/>
    <cellStyle name="Normal 26 3" xfId="500"/>
    <cellStyle name="Normal 26 4" xfId="710"/>
    <cellStyle name="Normal 26 5" xfId="919"/>
    <cellStyle name="Normal 26 6" xfId="1128"/>
    <cellStyle name="Normal 26 7" xfId="1334"/>
    <cellStyle name="Normal 26 8" xfId="1541"/>
    <cellStyle name="Normal 26 9" xfId="1743"/>
    <cellStyle name="Normal 27" xfId="74"/>
    <cellStyle name="Normal 27 10" xfId="2045"/>
    <cellStyle name="Normal 27 11" xfId="3064"/>
    <cellStyle name="Normal 27 2" xfId="317"/>
    <cellStyle name="Normal 27 3" xfId="501"/>
    <cellStyle name="Normal 27 4" xfId="711"/>
    <cellStyle name="Normal 27 5" xfId="920"/>
    <cellStyle name="Normal 27 6" xfId="1129"/>
    <cellStyle name="Normal 27 7" xfId="1335"/>
    <cellStyle name="Normal 27 8" xfId="1542"/>
    <cellStyle name="Normal 27 9" xfId="1744"/>
    <cellStyle name="Normal 28" xfId="75"/>
    <cellStyle name="Normal 28 10" xfId="2046"/>
    <cellStyle name="Normal 28 11" xfId="3065"/>
    <cellStyle name="Normal 28 2" xfId="318"/>
    <cellStyle name="Normal 28 3" xfId="502"/>
    <cellStyle name="Normal 28 4" xfId="712"/>
    <cellStyle name="Normal 28 5" xfId="921"/>
    <cellStyle name="Normal 28 6" xfId="1130"/>
    <cellStyle name="Normal 28 7" xfId="1336"/>
    <cellStyle name="Normal 28 8" xfId="1543"/>
    <cellStyle name="Normal 28 9" xfId="1745"/>
    <cellStyle name="Normal 29" xfId="76"/>
    <cellStyle name="Normal 29 10" xfId="2047"/>
    <cellStyle name="Normal 29 11" xfId="3066"/>
    <cellStyle name="Normal 29 2" xfId="319"/>
    <cellStyle name="Normal 29 3" xfId="503"/>
    <cellStyle name="Normal 29 4" xfId="713"/>
    <cellStyle name="Normal 29 5" xfId="922"/>
    <cellStyle name="Normal 29 6" xfId="1131"/>
    <cellStyle name="Normal 29 7" xfId="1337"/>
    <cellStyle name="Normal 29 8" xfId="1544"/>
    <cellStyle name="Normal 29 9" xfId="1746"/>
    <cellStyle name="Normal 3" xfId="13"/>
    <cellStyle name="Normal 3 10" xfId="2007"/>
    <cellStyle name="Normal 3 10 2" xfId="3067"/>
    <cellStyle name="Normal 3 11" xfId="2008"/>
    <cellStyle name="Normal 3 11 2" xfId="3068"/>
    <cellStyle name="Normal 3 12" xfId="2009"/>
    <cellStyle name="Normal 3 12 2" xfId="3069"/>
    <cellStyle name="Normal 3 13" xfId="2010"/>
    <cellStyle name="Normal 3 13 2" xfId="3070"/>
    <cellStyle name="Normal 3 14" xfId="2011"/>
    <cellStyle name="Normal 3 14 2" xfId="3071"/>
    <cellStyle name="Normal 3 15" xfId="2012"/>
    <cellStyle name="Normal 3 15 2" xfId="3072"/>
    <cellStyle name="Normal 3 16" xfId="2013"/>
    <cellStyle name="Normal 3 16 2" xfId="3073"/>
    <cellStyle name="Normal 3 17" xfId="2014"/>
    <cellStyle name="Normal 3 17 2" xfId="3074"/>
    <cellStyle name="Normal 3 18" xfId="2015"/>
    <cellStyle name="Normal 3 18 2" xfId="3075"/>
    <cellStyle name="Normal 3 19" xfId="2016"/>
    <cellStyle name="Normal 3 19 2" xfId="3076"/>
    <cellStyle name="Normal 3 2" xfId="285"/>
    <cellStyle name="Normal 3 2 2" xfId="3077"/>
    <cellStyle name="Normal 3 2 3" xfId="3292"/>
    <cellStyle name="Normal 3 20" xfId="2017"/>
    <cellStyle name="Normal 3 20 2" xfId="3078"/>
    <cellStyle name="Normal 3 21" xfId="2018"/>
    <cellStyle name="Normal 3 21 2" xfId="3079"/>
    <cellStyle name="Normal 3 22" xfId="2019"/>
    <cellStyle name="Normal 3 22 2" xfId="3080"/>
    <cellStyle name="Normal 3 23" xfId="2020"/>
    <cellStyle name="Normal 3 23 2" xfId="3081"/>
    <cellStyle name="Normal 3 24" xfId="2021"/>
    <cellStyle name="Normal 3 24 2" xfId="3082"/>
    <cellStyle name="Normal 3 25" xfId="3083"/>
    <cellStyle name="Normal 3 26" xfId="3291"/>
    <cellStyle name="Normal 3 27" xfId="19"/>
    <cellStyle name="Normal 3 3" xfId="288"/>
    <cellStyle name="Normal 3 3 2" xfId="3084"/>
    <cellStyle name="Normal 3 4" xfId="474"/>
    <cellStyle name="Normal 3 4 2" xfId="3085"/>
    <cellStyle name="Normal 3 5" xfId="286"/>
    <cellStyle name="Normal 3 5 2" xfId="3086"/>
    <cellStyle name="Normal 3 6" xfId="693"/>
    <cellStyle name="Normal 3 6 2" xfId="3087"/>
    <cellStyle name="Normal 3 7" xfId="287"/>
    <cellStyle name="Normal 3 7 2" xfId="3088"/>
    <cellStyle name="Normal 3 8" xfId="299"/>
    <cellStyle name="Normal 3 8 2" xfId="3089"/>
    <cellStyle name="Normal 3 9" xfId="1315"/>
    <cellStyle name="Normal 3 9 2" xfId="3090"/>
    <cellStyle name="Normal 30" xfId="77"/>
    <cellStyle name="Normal 30 10" xfId="2048"/>
    <cellStyle name="Normal 30 11" xfId="3091"/>
    <cellStyle name="Normal 30 2" xfId="320"/>
    <cellStyle name="Normal 30 3" xfId="504"/>
    <cellStyle name="Normal 30 4" xfId="714"/>
    <cellStyle name="Normal 30 5" xfId="923"/>
    <cellStyle name="Normal 30 6" xfId="1132"/>
    <cellStyle name="Normal 30 7" xfId="1338"/>
    <cellStyle name="Normal 30 8" xfId="1545"/>
    <cellStyle name="Normal 30 9" xfId="1747"/>
    <cellStyle name="Normal 31" xfId="78"/>
    <cellStyle name="Normal 31 10" xfId="2049"/>
    <cellStyle name="Normal 31 11" xfId="3092"/>
    <cellStyle name="Normal 31 2" xfId="321"/>
    <cellStyle name="Normal 31 3" xfId="505"/>
    <cellStyle name="Normal 31 4" xfId="715"/>
    <cellStyle name="Normal 31 5" xfId="924"/>
    <cellStyle name="Normal 31 6" xfId="1133"/>
    <cellStyle name="Normal 31 7" xfId="1339"/>
    <cellStyle name="Normal 31 8" xfId="1546"/>
    <cellStyle name="Normal 31 9" xfId="1748"/>
    <cellStyle name="Normal 32" xfId="79"/>
    <cellStyle name="Normal 32 10" xfId="2050"/>
    <cellStyle name="Normal 32 11" xfId="3093"/>
    <cellStyle name="Normal 32 2" xfId="322"/>
    <cellStyle name="Normal 32 3" xfId="506"/>
    <cellStyle name="Normal 32 4" xfId="716"/>
    <cellStyle name="Normal 32 5" xfId="925"/>
    <cellStyle name="Normal 32 6" xfId="1134"/>
    <cellStyle name="Normal 32 7" xfId="1340"/>
    <cellStyle name="Normal 32 8" xfId="1547"/>
    <cellStyle name="Normal 32 9" xfId="1749"/>
    <cellStyle name="Normal 33" xfId="80"/>
    <cellStyle name="Normal 33 10" xfId="2051"/>
    <cellStyle name="Normal 33 11" xfId="3094"/>
    <cellStyle name="Normal 33 2" xfId="323"/>
    <cellStyle name="Normal 33 3" xfId="507"/>
    <cellStyle name="Normal 33 4" xfId="717"/>
    <cellStyle name="Normal 33 5" xfId="926"/>
    <cellStyle name="Normal 33 6" xfId="1135"/>
    <cellStyle name="Normal 33 7" xfId="1341"/>
    <cellStyle name="Normal 33 8" xfId="1548"/>
    <cellStyle name="Normal 33 9" xfId="1750"/>
    <cellStyle name="Normal 34" xfId="81"/>
    <cellStyle name="Normal 34 10" xfId="2052"/>
    <cellStyle name="Normal 34 11" xfId="3095"/>
    <cellStyle name="Normal 34 2" xfId="324"/>
    <cellStyle name="Normal 34 3" xfId="508"/>
    <cellStyle name="Normal 34 4" xfId="718"/>
    <cellStyle name="Normal 34 5" xfId="927"/>
    <cellStyle name="Normal 34 6" xfId="1136"/>
    <cellStyle name="Normal 34 7" xfId="1342"/>
    <cellStyle name="Normal 34 8" xfId="1549"/>
    <cellStyle name="Normal 34 9" xfId="1751"/>
    <cellStyle name="Normal 35" xfId="2022"/>
    <cellStyle name="Normal 35 2" xfId="3096"/>
    <cellStyle name="Normal 36" xfId="82"/>
    <cellStyle name="Normal 36 10" xfId="2053"/>
    <cellStyle name="Normal 36 11" xfId="3097"/>
    <cellStyle name="Normal 36 2" xfId="325"/>
    <cellStyle name="Normal 36 3" xfId="509"/>
    <cellStyle name="Normal 36 4" xfId="719"/>
    <cellStyle name="Normal 36 5" xfId="928"/>
    <cellStyle name="Normal 36 6" xfId="1137"/>
    <cellStyle name="Normal 36 7" xfId="1343"/>
    <cellStyle name="Normal 36 8" xfId="1550"/>
    <cellStyle name="Normal 36 9" xfId="1752"/>
    <cellStyle name="Normal 37" xfId="83"/>
    <cellStyle name="Normal 37 10" xfId="2054"/>
    <cellStyle name="Normal 37 11" xfId="3098"/>
    <cellStyle name="Normal 37 2" xfId="326"/>
    <cellStyle name="Normal 37 3" xfId="510"/>
    <cellStyle name="Normal 37 4" xfId="720"/>
    <cellStyle name="Normal 37 5" xfId="929"/>
    <cellStyle name="Normal 37 6" xfId="1138"/>
    <cellStyle name="Normal 37 7" xfId="1344"/>
    <cellStyle name="Normal 37 8" xfId="1551"/>
    <cellStyle name="Normal 37 9" xfId="1753"/>
    <cellStyle name="Normal 38" xfId="84"/>
    <cellStyle name="Normal 38 10" xfId="2055"/>
    <cellStyle name="Normal 38 11" xfId="3099"/>
    <cellStyle name="Normal 38 2" xfId="327"/>
    <cellStyle name="Normal 38 3" xfId="511"/>
    <cellStyle name="Normal 38 4" xfId="721"/>
    <cellStyle name="Normal 38 5" xfId="930"/>
    <cellStyle name="Normal 38 6" xfId="1139"/>
    <cellStyle name="Normal 38 7" xfId="1345"/>
    <cellStyle name="Normal 38 8" xfId="1552"/>
    <cellStyle name="Normal 38 9" xfId="1754"/>
    <cellStyle name="Normal 39" xfId="85"/>
    <cellStyle name="Normal 39 10" xfId="2056"/>
    <cellStyle name="Normal 39 11" xfId="3100"/>
    <cellStyle name="Normal 39 2" xfId="328"/>
    <cellStyle name="Normal 39 3" xfId="512"/>
    <cellStyle name="Normal 39 4" xfId="722"/>
    <cellStyle name="Normal 39 5" xfId="931"/>
    <cellStyle name="Normal 39 6" xfId="1140"/>
    <cellStyle name="Normal 39 7" xfId="1346"/>
    <cellStyle name="Normal 39 8" xfId="1553"/>
    <cellStyle name="Normal 39 9" xfId="1755"/>
    <cellStyle name="Normal 4" xfId="40"/>
    <cellStyle name="Normal 4 2" xfId="114"/>
    <cellStyle name="Normal 4 2 10" xfId="2091"/>
    <cellStyle name="Normal 4 2 10 2" xfId="2598"/>
    <cellStyle name="Normal 4 2 10 3" xfId="2985"/>
    <cellStyle name="Normal 4 2 11" xfId="2252"/>
    <cellStyle name="Normal 4 2 12" xfId="2639"/>
    <cellStyle name="Normal 4 2 2" xfId="260"/>
    <cellStyle name="Normal 4 2 2 2" xfId="2289"/>
    <cellStyle name="Normal 4 2 2 3" xfId="2676"/>
    <cellStyle name="Normal 4 2 3" xfId="547"/>
    <cellStyle name="Normal 4 2 3 2" xfId="2336"/>
    <cellStyle name="Normal 4 2 3 3" xfId="2723"/>
    <cellStyle name="Normal 4 2 4" xfId="757"/>
    <cellStyle name="Normal 4 2 4 2" xfId="2371"/>
    <cellStyle name="Normal 4 2 4 3" xfId="2758"/>
    <cellStyle name="Normal 4 2 5" xfId="966"/>
    <cellStyle name="Normal 4 2 5 2" xfId="2406"/>
    <cellStyle name="Normal 4 2 5 3" xfId="2793"/>
    <cellStyle name="Normal 4 2 6" xfId="1175"/>
    <cellStyle name="Normal 4 2 6 2" xfId="2441"/>
    <cellStyle name="Normal 4 2 6 3" xfId="2828"/>
    <cellStyle name="Normal 4 2 7" xfId="1381"/>
    <cellStyle name="Normal 4 2 7 2" xfId="2472"/>
    <cellStyle name="Normal 4 2 7 3" xfId="2859"/>
    <cellStyle name="Normal 4 2 8" xfId="1588"/>
    <cellStyle name="Normal 4 2 8 2" xfId="2505"/>
    <cellStyle name="Normal 4 2 8 3" xfId="2892"/>
    <cellStyle name="Normal 4 2 9" xfId="1790"/>
    <cellStyle name="Normal 4 2 9 2" xfId="2534"/>
    <cellStyle name="Normal 4 2 9 3" xfId="2921"/>
    <cellStyle name="Normal 4 3" xfId="232"/>
    <cellStyle name="Normal 4 3 10" xfId="2209"/>
    <cellStyle name="Normal 4 3 10 2" xfId="2602"/>
    <cellStyle name="Normal 4 3 10 3" xfId="2989"/>
    <cellStyle name="Normal 4 3 11" xfId="2256"/>
    <cellStyle name="Normal 4 3 12" xfId="2643"/>
    <cellStyle name="Normal 4 3 2" xfId="264"/>
    <cellStyle name="Normal 4 3 2 2" xfId="2293"/>
    <cellStyle name="Normal 4 3 2 3" xfId="2680"/>
    <cellStyle name="Normal 4 3 3" xfId="666"/>
    <cellStyle name="Normal 4 3 3 2" xfId="2341"/>
    <cellStyle name="Normal 4 3 3 3" xfId="2728"/>
    <cellStyle name="Normal 4 3 4" xfId="876"/>
    <cellStyle name="Normal 4 3 4 2" xfId="2376"/>
    <cellStyle name="Normal 4 3 4 3" xfId="2763"/>
    <cellStyle name="Normal 4 3 5" xfId="1084"/>
    <cellStyle name="Normal 4 3 5 2" xfId="2410"/>
    <cellStyle name="Normal 4 3 5 3" xfId="2797"/>
    <cellStyle name="Normal 4 3 6" xfId="1294"/>
    <cellStyle name="Normal 4 3 6 2" xfId="2446"/>
    <cellStyle name="Normal 4 3 6 3" xfId="2833"/>
    <cellStyle name="Normal 4 3 7" xfId="1499"/>
    <cellStyle name="Normal 4 3 7 2" xfId="2476"/>
    <cellStyle name="Normal 4 3 7 3" xfId="2863"/>
    <cellStyle name="Normal 4 3 8" xfId="1706"/>
    <cellStyle name="Normal 4 3 8 2" xfId="2509"/>
    <cellStyle name="Normal 4 3 8 3" xfId="2896"/>
    <cellStyle name="Normal 4 3 9" xfId="1908"/>
    <cellStyle name="Normal 4 3 9 2" xfId="2538"/>
    <cellStyle name="Normal 4 3 9 3" xfId="2925"/>
    <cellStyle name="Normal 4 4" xfId="236"/>
    <cellStyle name="Normal 4 4 10" xfId="2213"/>
    <cellStyle name="Normal 4 4 10 2" xfId="2606"/>
    <cellStyle name="Normal 4 4 10 3" xfId="2993"/>
    <cellStyle name="Normal 4 4 11" xfId="2260"/>
    <cellStyle name="Normal 4 4 12" xfId="2647"/>
    <cellStyle name="Normal 4 4 2" xfId="268"/>
    <cellStyle name="Normal 4 4 2 2" xfId="2297"/>
    <cellStyle name="Normal 4 4 2 3" xfId="2684"/>
    <cellStyle name="Normal 4 4 3" xfId="670"/>
    <cellStyle name="Normal 4 4 3 2" xfId="2345"/>
    <cellStyle name="Normal 4 4 3 3" xfId="2732"/>
    <cellStyle name="Normal 4 4 4" xfId="880"/>
    <cellStyle name="Normal 4 4 4 2" xfId="2380"/>
    <cellStyle name="Normal 4 4 4 3" xfId="2767"/>
    <cellStyle name="Normal 4 4 5" xfId="1088"/>
    <cellStyle name="Normal 4 4 5 2" xfId="2414"/>
    <cellStyle name="Normal 4 4 5 3" xfId="2801"/>
    <cellStyle name="Normal 4 4 6" xfId="1298"/>
    <cellStyle name="Normal 4 4 6 2" xfId="2450"/>
    <cellStyle name="Normal 4 4 6 3" xfId="2837"/>
    <cellStyle name="Normal 4 4 7" xfId="1503"/>
    <cellStyle name="Normal 4 4 7 2" xfId="2480"/>
    <cellStyle name="Normal 4 4 7 3" xfId="2867"/>
    <cellStyle name="Normal 4 4 8" xfId="1710"/>
    <cellStyle name="Normal 4 4 8 2" xfId="2513"/>
    <cellStyle name="Normal 4 4 8 3" xfId="2900"/>
    <cellStyle name="Normal 4 4 9" xfId="1912"/>
    <cellStyle name="Normal 4 4 9 2" xfId="2542"/>
    <cellStyle name="Normal 4 4 9 3" xfId="2929"/>
    <cellStyle name="Normal 4 5" xfId="240"/>
    <cellStyle name="Normal 4 5 10" xfId="2217"/>
    <cellStyle name="Normal 4 5 10 2" xfId="2610"/>
    <cellStyle name="Normal 4 5 10 3" xfId="2997"/>
    <cellStyle name="Normal 4 5 11" xfId="2264"/>
    <cellStyle name="Normal 4 5 12" xfId="2651"/>
    <cellStyle name="Normal 4 5 2" xfId="272"/>
    <cellStyle name="Normal 4 5 2 2" xfId="2301"/>
    <cellStyle name="Normal 4 5 2 3" xfId="2688"/>
    <cellStyle name="Normal 4 5 3" xfId="674"/>
    <cellStyle name="Normal 4 5 3 2" xfId="2349"/>
    <cellStyle name="Normal 4 5 3 3" xfId="2736"/>
    <cellStyle name="Normal 4 5 4" xfId="884"/>
    <cellStyle name="Normal 4 5 4 2" xfId="2384"/>
    <cellStyle name="Normal 4 5 4 3" xfId="2771"/>
    <cellStyle name="Normal 4 5 5" xfId="1092"/>
    <cellStyle name="Normal 4 5 5 2" xfId="2418"/>
    <cellStyle name="Normal 4 5 5 3" xfId="2805"/>
    <cellStyle name="Normal 4 5 6" xfId="1302"/>
    <cellStyle name="Normal 4 5 6 2" xfId="2454"/>
    <cellStyle name="Normal 4 5 6 3" xfId="2841"/>
    <cellStyle name="Normal 4 5 7" xfId="1507"/>
    <cellStyle name="Normal 4 5 7 2" xfId="2484"/>
    <cellStyle name="Normal 4 5 7 3" xfId="2871"/>
    <cellStyle name="Normal 4 5 8" xfId="1714"/>
    <cellStyle name="Normal 4 5 8 2" xfId="2517"/>
    <cellStyle name="Normal 4 5 8 3" xfId="2904"/>
    <cellStyle name="Normal 4 5 9" xfId="1916"/>
    <cellStyle name="Normal 4 5 9 2" xfId="2546"/>
    <cellStyle name="Normal 4 5 9 3" xfId="2933"/>
    <cellStyle name="Normal 4 6" xfId="241"/>
    <cellStyle name="Normal 4 6 10" xfId="2218"/>
    <cellStyle name="Normal 4 6 10 2" xfId="2611"/>
    <cellStyle name="Normal 4 6 10 3" xfId="2998"/>
    <cellStyle name="Normal 4 6 11" xfId="2265"/>
    <cellStyle name="Normal 4 6 12" xfId="2652"/>
    <cellStyle name="Normal 4 6 2" xfId="273"/>
    <cellStyle name="Normal 4 6 2 2" xfId="2302"/>
    <cellStyle name="Normal 4 6 2 3" xfId="2689"/>
    <cellStyle name="Normal 4 6 3" xfId="675"/>
    <cellStyle name="Normal 4 6 3 2" xfId="2350"/>
    <cellStyle name="Normal 4 6 3 3" xfId="2737"/>
    <cellStyle name="Normal 4 6 4" xfId="885"/>
    <cellStyle name="Normal 4 6 4 2" xfId="2385"/>
    <cellStyle name="Normal 4 6 4 3" xfId="2772"/>
    <cellStyle name="Normal 4 6 5" xfId="1093"/>
    <cellStyle name="Normal 4 6 5 2" xfId="2419"/>
    <cellStyle name="Normal 4 6 5 3" xfId="2806"/>
    <cellStyle name="Normal 4 6 6" xfId="1303"/>
    <cellStyle name="Normal 4 6 6 2" xfId="2455"/>
    <cellStyle name="Normal 4 6 6 3" xfId="2842"/>
    <cellStyle name="Normal 4 6 7" xfId="1508"/>
    <cellStyle name="Normal 4 6 7 2" xfId="2485"/>
    <cellStyle name="Normal 4 6 7 3" xfId="2872"/>
    <cellStyle name="Normal 4 6 8" xfId="1715"/>
    <cellStyle name="Normal 4 6 8 2" xfId="2518"/>
    <cellStyle name="Normal 4 6 8 3" xfId="2905"/>
    <cellStyle name="Normal 4 6 9" xfId="1917"/>
    <cellStyle name="Normal 4 6 9 2" xfId="2547"/>
    <cellStyle name="Normal 4 6 9 3" xfId="2934"/>
    <cellStyle name="Normal 4 7" xfId="245"/>
    <cellStyle name="Normal 4 7 10" xfId="2222"/>
    <cellStyle name="Normal 4 7 10 2" xfId="2615"/>
    <cellStyle name="Normal 4 7 10 3" xfId="3002"/>
    <cellStyle name="Normal 4 7 11" xfId="2269"/>
    <cellStyle name="Normal 4 7 12" xfId="2656"/>
    <cellStyle name="Normal 4 7 2" xfId="277"/>
    <cellStyle name="Normal 4 7 2 2" xfId="2306"/>
    <cellStyle name="Normal 4 7 2 3" xfId="2693"/>
    <cellStyle name="Normal 4 7 3" xfId="679"/>
    <cellStyle name="Normal 4 7 3 2" xfId="2354"/>
    <cellStyle name="Normal 4 7 3 3" xfId="2741"/>
    <cellStyle name="Normal 4 7 4" xfId="889"/>
    <cellStyle name="Normal 4 7 4 2" xfId="2389"/>
    <cellStyle name="Normal 4 7 4 3" xfId="2776"/>
    <cellStyle name="Normal 4 7 5" xfId="1097"/>
    <cellStyle name="Normal 4 7 5 2" xfId="2423"/>
    <cellStyle name="Normal 4 7 5 3" xfId="2810"/>
    <cellStyle name="Normal 4 7 6" xfId="1307"/>
    <cellStyle name="Normal 4 7 6 2" xfId="2459"/>
    <cellStyle name="Normal 4 7 6 3" xfId="2846"/>
    <cellStyle name="Normal 4 7 7" xfId="1512"/>
    <cellStyle name="Normal 4 7 7 2" xfId="2489"/>
    <cellStyle name="Normal 4 7 7 3" xfId="2876"/>
    <cellStyle name="Normal 4 7 8" xfId="1719"/>
    <cellStyle name="Normal 4 7 8 2" xfId="2522"/>
    <cellStyle name="Normal 4 7 8 3" xfId="2909"/>
    <cellStyle name="Normal 4 7 9" xfId="1921"/>
    <cellStyle name="Normal 4 7 9 2" xfId="2551"/>
    <cellStyle name="Normal 4 7 9 3" xfId="2938"/>
    <cellStyle name="Normal 4 8" xfId="249"/>
    <cellStyle name="Normal 4 8 10" xfId="2226"/>
    <cellStyle name="Normal 4 8 10 2" xfId="2619"/>
    <cellStyle name="Normal 4 8 10 3" xfId="3006"/>
    <cellStyle name="Normal 4 8 11" xfId="2273"/>
    <cellStyle name="Normal 4 8 12" xfId="2660"/>
    <cellStyle name="Normal 4 8 2" xfId="281"/>
    <cellStyle name="Normal 4 8 2 2" xfId="2310"/>
    <cellStyle name="Normal 4 8 2 3" xfId="2697"/>
    <cellStyle name="Normal 4 8 3" xfId="683"/>
    <cellStyle name="Normal 4 8 3 2" xfId="2358"/>
    <cellStyle name="Normal 4 8 3 3" xfId="2745"/>
    <cellStyle name="Normal 4 8 4" xfId="893"/>
    <cellStyle name="Normal 4 8 4 2" xfId="2393"/>
    <cellStyle name="Normal 4 8 4 3" xfId="2780"/>
    <cellStyle name="Normal 4 8 5" xfId="1101"/>
    <cellStyle name="Normal 4 8 5 2" xfId="2427"/>
    <cellStyle name="Normal 4 8 5 3" xfId="2814"/>
    <cellStyle name="Normal 4 8 6" xfId="1311"/>
    <cellStyle name="Normal 4 8 6 2" xfId="2463"/>
    <cellStyle name="Normal 4 8 6 3" xfId="2850"/>
    <cellStyle name="Normal 4 8 7" xfId="1516"/>
    <cellStyle name="Normal 4 8 7 2" xfId="2493"/>
    <cellStyle name="Normal 4 8 7 3" xfId="2880"/>
    <cellStyle name="Normal 4 8 8" xfId="1723"/>
    <cellStyle name="Normal 4 8 8 2" xfId="2526"/>
    <cellStyle name="Normal 4 8 8 3" xfId="2913"/>
    <cellStyle name="Normal 4 8 9" xfId="1925"/>
    <cellStyle name="Normal 4 8 9 2" xfId="2555"/>
    <cellStyle name="Normal 4 8 9 3" xfId="2942"/>
    <cellStyle name="Normal 40" xfId="86"/>
    <cellStyle name="Normal 40 10" xfId="2057"/>
    <cellStyle name="Normal 40 11" xfId="3101"/>
    <cellStyle name="Normal 40 2" xfId="329"/>
    <cellStyle name="Normal 40 3" xfId="513"/>
    <cellStyle name="Normal 40 4" xfId="723"/>
    <cellStyle name="Normal 40 5" xfId="932"/>
    <cellStyle name="Normal 40 6" xfId="1141"/>
    <cellStyle name="Normal 40 7" xfId="1347"/>
    <cellStyle name="Normal 40 8" xfId="1554"/>
    <cellStyle name="Normal 40 9" xfId="1756"/>
    <cellStyle name="Normal 41" xfId="41"/>
    <cellStyle name="Normal 42" xfId="87"/>
    <cellStyle name="Normal 42 10" xfId="2058"/>
    <cellStyle name="Normal 42 11" xfId="3102"/>
    <cellStyle name="Normal 42 2" xfId="330"/>
    <cellStyle name="Normal 42 3" xfId="514"/>
    <cellStyle name="Normal 42 4" xfId="724"/>
    <cellStyle name="Normal 42 5" xfId="933"/>
    <cellStyle name="Normal 42 6" xfId="1142"/>
    <cellStyle name="Normal 42 7" xfId="1348"/>
    <cellStyle name="Normal 42 8" xfId="1555"/>
    <cellStyle name="Normal 42 9" xfId="1757"/>
    <cellStyle name="Normal 43" xfId="88"/>
    <cellStyle name="Normal 43 10" xfId="2059"/>
    <cellStyle name="Normal 43 11" xfId="3103"/>
    <cellStyle name="Normal 43 2" xfId="331"/>
    <cellStyle name="Normal 43 3" xfId="515"/>
    <cellStyle name="Normal 43 4" xfId="725"/>
    <cellStyle name="Normal 43 5" xfId="934"/>
    <cellStyle name="Normal 43 6" xfId="1143"/>
    <cellStyle name="Normal 43 7" xfId="1349"/>
    <cellStyle name="Normal 43 8" xfId="1556"/>
    <cellStyle name="Normal 43 9" xfId="1758"/>
    <cellStyle name="Normal 44" xfId="89"/>
    <cellStyle name="Normal 44 10" xfId="2060"/>
    <cellStyle name="Normal 44 11" xfId="3104"/>
    <cellStyle name="Normal 44 2" xfId="332"/>
    <cellStyle name="Normal 44 3" xfId="516"/>
    <cellStyle name="Normal 44 4" xfId="726"/>
    <cellStyle name="Normal 44 5" xfId="935"/>
    <cellStyle name="Normal 44 6" xfId="1144"/>
    <cellStyle name="Normal 44 7" xfId="1350"/>
    <cellStyle name="Normal 44 8" xfId="1557"/>
    <cellStyle name="Normal 44 9" xfId="1759"/>
    <cellStyle name="Normal 45" xfId="90"/>
    <cellStyle name="Normal 45 10" xfId="2061"/>
    <cellStyle name="Normal 45 11" xfId="3105"/>
    <cellStyle name="Normal 45 2" xfId="333"/>
    <cellStyle name="Normal 45 3" xfId="517"/>
    <cellStyle name="Normal 45 4" xfId="727"/>
    <cellStyle name="Normal 45 5" xfId="936"/>
    <cellStyle name="Normal 45 6" xfId="1145"/>
    <cellStyle name="Normal 45 7" xfId="1351"/>
    <cellStyle name="Normal 45 8" xfId="1558"/>
    <cellStyle name="Normal 45 9" xfId="1760"/>
    <cellStyle name="Normal 46" xfId="91"/>
    <cellStyle name="Normal 46 10" xfId="2062"/>
    <cellStyle name="Normal 46 11" xfId="3106"/>
    <cellStyle name="Normal 46 2" xfId="334"/>
    <cellStyle name="Normal 46 3" xfId="518"/>
    <cellStyle name="Normal 46 4" xfId="728"/>
    <cellStyle name="Normal 46 5" xfId="937"/>
    <cellStyle name="Normal 46 6" xfId="1146"/>
    <cellStyle name="Normal 46 7" xfId="1352"/>
    <cellStyle name="Normal 46 8" xfId="1559"/>
    <cellStyle name="Normal 46 9" xfId="1761"/>
    <cellStyle name="Normal 47" xfId="92"/>
    <cellStyle name="Normal 47 10" xfId="2063"/>
    <cellStyle name="Normal 47 11" xfId="3107"/>
    <cellStyle name="Normal 47 2" xfId="335"/>
    <cellStyle name="Normal 47 3" xfId="519"/>
    <cellStyle name="Normal 47 4" xfId="729"/>
    <cellStyle name="Normal 47 5" xfId="938"/>
    <cellStyle name="Normal 47 6" xfId="1147"/>
    <cellStyle name="Normal 47 7" xfId="1353"/>
    <cellStyle name="Normal 47 8" xfId="1560"/>
    <cellStyle name="Normal 47 9" xfId="1762"/>
    <cellStyle name="Normal 48" xfId="42"/>
    <cellStyle name="Normal 49" xfId="93"/>
    <cellStyle name="Normal 49 10" xfId="2064"/>
    <cellStyle name="Normal 49 11" xfId="3108"/>
    <cellStyle name="Normal 49 2" xfId="336"/>
    <cellStyle name="Normal 49 3" xfId="520"/>
    <cellStyle name="Normal 49 4" xfId="730"/>
    <cellStyle name="Normal 49 5" xfId="939"/>
    <cellStyle name="Normal 49 6" xfId="1148"/>
    <cellStyle name="Normal 49 7" xfId="1354"/>
    <cellStyle name="Normal 49 8" xfId="1561"/>
    <cellStyle name="Normal 49 9" xfId="1763"/>
    <cellStyle name="Normal 5" xfId="6"/>
    <cellStyle name="Normal 5 10" xfId="2623"/>
    <cellStyle name="Normal 5 11" xfId="3010"/>
    <cellStyle name="Normal 5 2" xfId="111"/>
    <cellStyle name="Normal 5 2 10" xfId="2088"/>
    <cellStyle name="Normal 5 2 10 2" xfId="2595"/>
    <cellStyle name="Normal 5 2 10 3" xfId="2982"/>
    <cellStyle name="Normal 5 2 11" xfId="2249"/>
    <cellStyle name="Normal 5 2 12" xfId="2636"/>
    <cellStyle name="Normal 5 2 2" xfId="257"/>
    <cellStyle name="Normal 5 2 2 2" xfId="2286"/>
    <cellStyle name="Normal 5 2 2 3" xfId="2673"/>
    <cellStyle name="Normal 5 2 3" xfId="544"/>
    <cellStyle name="Normal 5 2 3 2" xfId="2333"/>
    <cellStyle name="Normal 5 2 3 3" xfId="2720"/>
    <cellStyle name="Normal 5 2 4" xfId="754"/>
    <cellStyle name="Normal 5 2 4 2" xfId="2368"/>
    <cellStyle name="Normal 5 2 4 3" xfId="2755"/>
    <cellStyle name="Normal 5 2 5" xfId="963"/>
    <cellStyle name="Normal 5 2 5 2" xfId="2403"/>
    <cellStyle name="Normal 5 2 5 3" xfId="2790"/>
    <cellStyle name="Normal 5 2 6" xfId="1172"/>
    <cellStyle name="Normal 5 2 6 2" xfId="2438"/>
    <cellStyle name="Normal 5 2 6 3" xfId="2825"/>
    <cellStyle name="Normal 5 2 7" xfId="1378"/>
    <cellStyle name="Normal 5 2 7 2" xfId="2469"/>
    <cellStyle name="Normal 5 2 7 3" xfId="2856"/>
    <cellStyle name="Normal 5 2 8" xfId="1585"/>
    <cellStyle name="Normal 5 2 8 2" xfId="2502"/>
    <cellStyle name="Normal 5 2 8 3" xfId="2889"/>
    <cellStyle name="Normal 5 2 9" xfId="1787"/>
    <cellStyle name="Normal 5 2 9 2" xfId="2531"/>
    <cellStyle name="Normal 5 2 9 3" xfId="2918"/>
    <cellStyle name="Normal 5 3" xfId="229"/>
    <cellStyle name="Normal 5 3 10" xfId="2206"/>
    <cellStyle name="Normal 5 3 10 2" xfId="2599"/>
    <cellStyle name="Normal 5 3 10 3" xfId="2986"/>
    <cellStyle name="Normal 5 3 11" xfId="2253"/>
    <cellStyle name="Normal 5 3 12" xfId="2640"/>
    <cellStyle name="Normal 5 3 2" xfId="261"/>
    <cellStyle name="Normal 5 3 2 2" xfId="2290"/>
    <cellStyle name="Normal 5 3 2 3" xfId="2677"/>
    <cellStyle name="Normal 5 3 3" xfId="663"/>
    <cellStyle name="Normal 5 3 3 2" xfId="2338"/>
    <cellStyle name="Normal 5 3 3 3" xfId="2725"/>
    <cellStyle name="Normal 5 3 4" xfId="873"/>
    <cellStyle name="Normal 5 3 4 2" xfId="2373"/>
    <cellStyle name="Normal 5 3 4 3" xfId="2760"/>
    <cellStyle name="Normal 5 3 5" xfId="1081"/>
    <cellStyle name="Normal 5 3 5 2" xfId="2407"/>
    <cellStyle name="Normal 5 3 5 3" xfId="2794"/>
    <cellStyle name="Normal 5 3 6" xfId="1291"/>
    <cellStyle name="Normal 5 3 6 2" xfId="2443"/>
    <cellStyle name="Normal 5 3 6 3" xfId="2830"/>
    <cellStyle name="Normal 5 3 7" xfId="1496"/>
    <cellStyle name="Normal 5 3 7 2" xfId="2473"/>
    <cellStyle name="Normal 5 3 7 3" xfId="2860"/>
    <cellStyle name="Normal 5 3 8" xfId="1703"/>
    <cellStyle name="Normal 5 3 8 2" xfId="2506"/>
    <cellStyle name="Normal 5 3 8 3" xfId="2893"/>
    <cellStyle name="Normal 5 3 9" xfId="1905"/>
    <cellStyle name="Normal 5 3 9 2" xfId="2535"/>
    <cellStyle name="Normal 5 3 9 3" xfId="2922"/>
    <cellStyle name="Normal 5 4" xfId="233"/>
    <cellStyle name="Normal 5 4 10" xfId="2210"/>
    <cellStyle name="Normal 5 4 10 2" xfId="2603"/>
    <cellStyle name="Normal 5 4 10 3" xfId="2990"/>
    <cellStyle name="Normal 5 4 11" xfId="2257"/>
    <cellStyle name="Normal 5 4 12" xfId="2644"/>
    <cellStyle name="Normal 5 4 2" xfId="265"/>
    <cellStyle name="Normal 5 4 2 2" xfId="2294"/>
    <cellStyle name="Normal 5 4 2 3" xfId="2681"/>
    <cellStyle name="Normal 5 4 3" xfId="667"/>
    <cellStyle name="Normal 5 4 3 2" xfId="2342"/>
    <cellStyle name="Normal 5 4 3 3" xfId="2729"/>
    <cellStyle name="Normal 5 4 4" xfId="877"/>
    <cellStyle name="Normal 5 4 4 2" xfId="2377"/>
    <cellStyle name="Normal 5 4 4 3" xfId="2764"/>
    <cellStyle name="Normal 5 4 5" xfId="1085"/>
    <cellStyle name="Normal 5 4 5 2" xfId="2411"/>
    <cellStyle name="Normal 5 4 5 3" xfId="2798"/>
    <cellStyle name="Normal 5 4 6" xfId="1295"/>
    <cellStyle name="Normal 5 4 6 2" xfId="2447"/>
    <cellStyle name="Normal 5 4 6 3" xfId="2834"/>
    <cellStyle name="Normal 5 4 7" xfId="1500"/>
    <cellStyle name="Normal 5 4 7 2" xfId="2477"/>
    <cellStyle name="Normal 5 4 7 3" xfId="2864"/>
    <cellStyle name="Normal 5 4 8" xfId="1707"/>
    <cellStyle name="Normal 5 4 8 2" xfId="2510"/>
    <cellStyle name="Normal 5 4 8 3" xfId="2897"/>
    <cellStyle name="Normal 5 4 9" xfId="1909"/>
    <cellStyle name="Normal 5 4 9 2" xfId="2539"/>
    <cellStyle name="Normal 5 4 9 3" xfId="2926"/>
    <cellStyle name="Normal 5 5" xfId="237"/>
    <cellStyle name="Normal 5 5 10" xfId="2214"/>
    <cellStyle name="Normal 5 5 10 2" xfId="2607"/>
    <cellStyle name="Normal 5 5 10 3" xfId="2994"/>
    <cellStyle name="Normal 5 5 11" xfId="2261"/>
    <cellStyle name="Normal 5 5 12" xfId="2648"/>
    <cellStyle name="Normal 5 5 2" xfId="269"/>
    <cellStyle name="Normal 5 5 2 2" xfId="2298"/>
    <cellStyle name="Normal 5 5 2 3" xfId="2685"/>
    <cellStyle name="Normal 5 5 3" xfId="671"/>
    <cellStyle name="Normal 5 5 3 2" xfId="2346"/>
    <cellStyle name="Normal 5 5 3 3" xfId="2733"/>
    <cellStyle name="Normal 5 5 4" xfId="881"/>
    <cellStyle name="Normal 5 5 4 2" xfId="2381"/>
    <cellStyle name="Normal 5 5 4 3" xfId="2768"/>
    <cellStyle name="Normal 5 5 5" xfId="1089"/>
    <cellStyle name="Normal 5 5 5 2" xfId="2415"/>
    <cellStyle name="Normal 5 5 5 3" xfId="2802"/>
    <cellStyle name="Normal 5 5 6" xfId="1299"/>
    <cellStyle name="Normal 5 5 6 2" xfId="2451"/>
    <cellStyle name="Normal 5 5 6 3" xfId="2838"/>
    <cellStyle name="Normal 5 5 7" xfId="1504"/>
    <cellStyle name="Normal 5 5 7 2" xfId="2481"/>
    <cellStyle name="Normal 5 5 7 3" xfId="2868"/>
    <cellStyle name="Normal 5 5 8" xfId="1711"/>
    <cellStyle name="Normal 5 5 8 2" xfId="2514"/>
    <cellStyle name="Normal 5 5 8 3" xfId="2901"/>
    <cellStyle name="Normal 5 5 9" xfId="1913"/>
    <cellStyle name="Normal 5 5 9 2" xfId="2543"/>
    <cellStyle name="Normal 5 5 9 3" xfId="2930"/>
    <cellStyle name="Normal 5 6" xfId="244"/>
    <cellStyle name="Normal 5 6 10" xfId="2221"/>
    <cellStyle name="Normal 5 6 10 2" xfId="2614"/>
    <cellStyle name="Normal 5 6 10 3" xfId="3001"/>
    <cellStyle name="Normal 5 6 11" xfId="2268"/>
    <cellStyle name="Normal 5 6 12" xfId="2655"/>
    <cellStyle name="Normal 5 6 2" xfId="276"/>
    <cellStyle name="Normal 5 6 2 2" xfId="2305"/>
    <cellStyle name="Normal 5 6 2 3" xfId="2692"/>
    <cellStyle name="Normal 5 6 3" xfId="678"/>
    <cellStyle name="Normal 5 6 3 2" xfId="2353"/>
    <cellStyle name="Normal 5 6 3 3" xfId="2740"/>
    <cellStyle name="Normal 5 6 4" xfId="888"/>
    <cellStyle name="Normal 5 6 4 2" xfId="2388"/>
    <cellStyle name="Normal 5 6 4 3" xfId="2775"/>
    <cellStyle name="Normal 5 6 5" xfId="1096"/>
    <cellStyle name="Normal 5 6 5 2" xfId="2422"/>
    <cellStyle name="Normal 5 6 5 3" xfId="2809"/>
    <cellStyle name="Normal 5 6 6" xfId="1306"/>
    <cellStyle name="Normal 5 6 6 2" xfId="2458"/>
    <cellStyle name="Normal 5 6 6 3" xfId="2845"/>
    <cellStyle name="Normal 5 6 7" xfId="1511"/>
    <cellStyle name="Normal 5 6 7 2" xfId="2488"/>
    <cellStyle name="Normal 5 6 7 3" xfId="2875"/>
    <cellStyle name="Normal 5 6 8" xfId="1718"/>
    <cellStyle name="Normal 5 6 8 2" xfId="2521"/>
    <cellStyle name="Normal 5 6 8 3" xfId="2908"/>
    <cellStyle name="Normal 5 6 9" xfId="1920"/>
    <cellStyle name="Normal 5 6 9 2" xfId="2550"/>
    <cellStyle name="Normal 5 6 9 3" xfId="2937"/>
    <cellStyle name="Normal 5 7" xfId="248"/>
    <cellStyle name="Normal 5 7 10" xfId="2225"/>
    <cellStyle name="Normal 5 7 10 2" xfId="2618"/>
    <cellStyle name="Normal 5 7 10 3" xfId="3005"/>
    <cellStyle name="Normal 5 7 11" xfId="2272"/>
    <cellStyle name="Normal 5 7 12" xfId="2659"/>
    <cellStyle name="Normal 5 7 2" xfId="280"/>
    <cellStyle name="Normal 5 7 2 2" xfId="2309"/>
    <cellStyle name="Normal 5 7 2 3" xfId="2696"/>
    <cellStyle name="Normal 5 7 3" xfId="682"/>
    <cellStyle name="Normal 5 7 3 2" xfId="2357"/>
    <cellStyle name="Normal 5 7 3 3" xfId="2744"/>
    <cellStyle name="Normal 5 7 4" xfId="892"/>
    <cellStyle name="Normal 5 7 4 2" xfId="2392"/>
    <cellStyle name="Normal 5 7 4 3" xfId="2779"/>
    <cellStyle name="Normal 5 7 5" xfId="1100"/>
    <cellStyle name="Normal 5 7 5 2" xfId="2426"/>
    <cellStyle name="Normal 5 7 5 3" xfId="2813"/>
    <cellStyle name="Normal 5 7 6" xfId="1310"/>
    <cellStyle name="Normal 5 7 6 2" xfId="2462"/>
    <cellStyle name="Normal 5 7 6 3" xfId="2849"/>
    <cellStyle name="Normal 5 7 7" xfId="1515"/>
    <cellStyle name="Normal 5 7 7 2" xfId="2492"/>
    <cellStyle name="Normal 5 7 7 3" xfId="2879"/>
    <cellStyle name="Normal 5 7 8" xfId="1722"/>
    <cellStyle name="Normal 5 7 8 2" xfId="2525"/>
    <cellStyle name="Normal 5 7 8 3" xfId="2912"/>
    <cellStyle name="Normal 5 7 9" xfId="1924"/>
    <cellStyle name="Normal 5 7 9 2" xfId="2554"/>
    <cellStyle name="Normal 5 7 9 3" xfId="2941"/>
    <cellStyle name="Normal 5 8" xfId="252"/>
    <cellStyle name="Normal 5 8 10" xfId="2229"/>
    <cellStyle name="Normal 5 8 10 2" xfId="2622"/>
    <cellStyle name="Normal 5 8 10 3" xfId="3009"/>
    <cellStyle name="Normal 5 8 11" xfId="2276"/>
    <cellStyle name="Normal 5 8 12" xfId="2663"/>
    <cellStyle name="Normal 5 8 2" xfId="284"/>
    <cellStyle name="Normal 5 8 2 2" xfId="2313"/>
    <cellStyle name="Normal 5 8 2 3" xfId="2700"/>
    <cellStyle name="Normal 5 8 3" xfId="686"/>
    <cellStyle name="Normal 5 8 3 2" xfId="2361"/>
    <cellStyle name="Normal 5 8 3 3" xfId="2748"/>
    <cellStyle name="Normal 5 8 4" xfId="896"/>
    <cellStyle name="Normal 5 8 4 2" xfId="2396"/>
    <cellStyle name="Normal 5 8 4 3" xfId="2783"/>
    <cellStyle name="Normal 5 8 5" xfId="1104"/>
    <cellStyle name="Normal 5 8 5 2" xfId="2430"/>
    <cellStyle name="Normal 5 8 5 3" xfId="2817"/>
    <cellStyle name="Normal 5 8 6" xfId="1314"/>
    <cellStyle name="Normal 5 8 6 2" xfId="2466"/>
    <cellStyle name="Normal 5 8 6 3" xfId="2853"/>
    <cellStyle name="Normal 5 8 7" xfId="1519"/>
    <cellStyle name="Normal 5 8 7 2" xfId="2496"/>
    <cellStyle name="Normal 5 8 7 3" xfId="2883"/>
    <cellStyle name="Normal 5 8 8" xfId="1726"/>
    <cellStyle name="Normal 5 8 8 2" xfId="2529"/>
    <cellStyle name="Normal 5 8 8 3" xfId="2916"/>
    <cellStyle name="Normal 5 8 9" xfId="1928"/>
    <cellStyle name="Normal 5 8 9 2" xfId="2558"/>
    <cellStyle name="Normal 5 8 9 3" xfId="2945"/>
    <cellStyle name="Normal 5 9" xfId="2237"/>
    <cellStyle name="Normal 50" xfId="43"/>
    <cellStyle name="Normal 51" xfId="44"/>
    <cellStyle name="Normal 52" xfId="45"/>
    <cellStyle name="Normal 53" xfId="46"/>
    <cellStyle name="Normal 54" xfId="94"/>
    <cellStyle name="Normal 54 10" xfId="2065"/>
    <cellStyle name="Normal 54 11" xfId="3109"/>
    <cellStyle name="Normal 54 2" xfId="337"/>
    <cellStyle name="Normal 54 3" xfId="521"/>
    <cellStyle name="Normal 54 4" xfId="731"/>
    <cellStyle name="Normal 54 5" xfId="940"/>
    <cellStyle name="Normal 54 6" xfId="1149"/>
    <cellStyle name="Normal 54 7" xfId="1355"/>
    <cellStyle name="Normal 54 8" xfId="1562"/>
    <cellStyle name="Normal 54 9" xfId="1764"/>
    <cellStyle name="Normal 55" xfId="95"/>
    <cellStyle name="Normal 55 10" xfId="2066"/>
    <cellStyle name="Normal 55 11" xfId="3110"/>
    <cellStyle name="Normal 55 2" xfId="338"/>
    <cellStyle name="Normal 55 3" xfId="522"/>
    <cellStyle name="Normal 55 4" xfId="732"/>
    <cellStyle name="Normal 55 5" xfId="941"/>
    <cellStyle name="Normal 55 6" xfId="1150"/>
    <cellStyle name="Normal 55 7" xfId="1356"/>
    <cellStyle name="Normal 55 8" xfId="1563"/>
    <cellStyle name="Normal 55 9" xfId="1765"/>
    <cellStyle name="Normal 56" xfId="96"/>
    <cellStyle name="Normal 56 10" xfId="2067"/>
    <cellStyle name="Normal 56 11" xfId="3111"/>
    <cellStyle name="Normal 56 2" xfId="339"/>
    <cellStyle name="Normal 56 3" xfId="523"/>
    <cellStyle name="Normal 56 4" xfId="733"/>
    <cellStyle name="Normal 56 5" xfId="942"/>
    <cellStyle name="Normal 56 6" xfId="1151"/>
    <cellStyle name="Normal 56 7" xfId="1357"/>
    <cellStyle name="Normal 56 8" xfId="1564"/>
    <cellStyle name="Normal 56 9" xfId="1766"/>
    <cellStyle name="Normal 57" xfId="29"/>
    <cellStyle name="Normal 57 10" xfId="2068"/>
    <cellStyle name="Normal 57 11" xfId="3112"/>
    <cellStyle name="Normal 57 2" xfId="340"/>
    <cellStyle name="Normal 57 3" xfId="524"/>
    <cellStyle name="Normal 57 4" xfId="734"/>
    <cellStyle name="Normal 57 5" xfId="943"/>
    <cellStyle name="Normal 57 6" xfId="1152"/>
    <cellStyle name="Normal 57 7" xfId="1358"/>
    <cellStyle name="Normal 57 8" xfId="1565"/>
    <cellStyle name="Normal 57 9" xfId="1767"/>
    <cellStyle name="Normal 58" xfId="30"/>
    <cellStyle name="Normal 58 10" xfId="2069"/>
    <cellStyle name="Normal 58 11" xfId="3113"/>
    <cellStyle name="Normal 58 2" xfId="341"/>
    <cellStyle name="Normal 58 3" xfId="525"/>
    <cellStyle name="Normal 58 4" xfId="735"/>
    <cellStyle name="Normal 58 5" xfId="944"/>
    <cellStyle name="Normal 58 6" xfId="1153"/>
    <cellStyle name="Normal 58 7" xfId="1359"/>
    <cellStyle name="Normal 58 8" xfId="1566"/>
    <cellStyle name="Normal 58 9" xfId="1768"/>
    <cellStyle name="Normal 59" xfId="22"/>
    <cellStyle name="Normal 59 10" xfId="2070"/>
    <cellStyle name="Normal 59 11" xfId="3114"/>
    <cellStyle name="Normal 59 2" xfId="342"/>
    <cellStyle name="Normal 59 3" xfId="526"/>
    <cellStyle name="Normal 59 4" xfId="736"/>
    <cellStyle name="Normal 59 5" xfId="945"/>
    <cellStyle name="Normal 59 6" xfId="1154"/>
    <cellStyle name="Normal 59 7" xfId="1360"/>
    <cellStyle name="Normal 59 8" xfId="1567"/>
    <cellStyle name="Normal 59 9" xfId="1769"/>
    <cellStyle name="Normal 6" xfId="59"/>
    <cellStyle name="Normal 6 10" xfId="1956"/>
    <cellStyle name="Normal 6 11" xfId="3115"/>
    <cellStyle name="Normal 6 2" xfId="300"/>
    <cellStyle name="Normal 6 3" xfId="484"/>
    <cellStyle name="Normal 6 4" xfId="694"/>
    <cellStyle name="Normal 6 5" xfId="903"/>
    <cellStyle name="Normal 6 6" xfId="1112"/>
    <cellStyle name="Normal 6 7" xfId="1318"/>
    <cellStyle name="Normal 6 8" xfId="1525"/>
    <cellStyle name="Normal 6 9" xfId="1727"/>
    <cellStyle name="Normal 60" xfId="23"/>
    <cellStyle name="Normal 60 10" xfId="2071"/>
    <cellStyle name="Normal 60 11" xfId="3116"/>
    <cellStyle name="Normal 60 2" xfId="343"/>
    <cellStyle name="Normal 60 3" xfId="527"/>
    <cellStyle name="Normal 60 4" xfId="737"/>
    <cellStyle name="Normal 60 5" xfId="946"/>
    <cellStyle name="Normal 60 6" xfId="1155"/>
    <cellStyle name="Normal 60 7" xfId="1361"/>
    <cellStyle name="Normal 60 8" xfId="1568"/>
    <cellStyle name="Normal 60 9" xfId="1770"/>
    <cellStyle name="Normal 61" xfId="28"/>
    <cellStyle name="Normal 61 10" xfId="2072"/>
    <cellStyle name="Normal 61 11" xfId="3117"/>
    <cellStyle name="Normal 61 2" xfId="344"/>
    <cellStyle name="Normal 61 3" xfId="528"/>
    <cellStyle name="Normal 61 4" xfId="738"/>
    <cellStyle name="Normal 61 5" xfId="947"/>
    <cellStyle name="Normal 61 6" xfId="1156"/>
    <cellStyle name="Normal 61 7" xfId="1362"/>
    <cellStyle name="Normal 61 8" xfId="1569"/>
    <cellStyle name="Normal 61 9" xfId="1771"/>
    <cellStyle name="Normal 62" xfId="97"/>
    <cellStyle name="Normal 62 10" xfId="2073"/>
    <cellStyle name="Normal 62 11" xfId="3118"/>
    <cellStyle name="Normal 62 2" xfId="345"/>
    <cellStyle name="Normal 62 3" xfId="529"/>
    <cellStyle name="Normal 62 4" xfId="739"/>
    <cellStyle name="Normal 62 5" xfId="948"/>
    <cellStyle name="Normal 62 6" xfId="1157"/>
    <cellStyle name="Normal 62 7" xfId="1363"/>
    <cellStyle name="Normal 62 8" xfId="1570"/>
    <cellStyle name="Normal 62 9" xfId="1772"/>
    <cellStyle name="Normal 63" xfId="98"/>
    <cellStyle name="Normal 63 10" xfId="2074"/>
    <cellStyle name="Normal 63 11" xfId="3119"/>
    <cellStyle name="Normal 63 2" xfId="346"/>
    <cellStyle name="Normal 63 3" xfId="530"/>
    <cellStyle name="Normal 63 4" xfId="740"/>
    <cellStyle name="Normal 63 5" xfId="949"/>
    <cellStyle name="Normal 63 6" xfId="1158"/>
    <cellStyle name="Normal 63 7" xfId="1364"/>
    <cellStyle name="Normal 63 8" xfId="1571"/>
    <cellStyle name="Normal 63 9" xfId="1773"/>
    <cellStyle name="Normal 64" xfId="99"/>
    <cellStyle name="Normal 64 10" xfId="2075"/>
    <cellStyle name="Normal 64 11" xfId="3120"/>
    <cellStyle name="Normal 64 2" xfId="347"/>
    <cellStyle name="Normal 64 3" xfId="531"/>
    <cellStyle name="Normal 64 4" xfId="741"/>
    <cellStyle name="Normal 64 5" xfId="950"/>
    <cellStyle name="Normal 64 6" xfId="1159"/>
    <cellStyle name="Normal 64 7" xfId="1365"/>
    <cellStyle name="Normal 64 8" xfId="1572"/>
    <cellStyle name="Normal 64 9" xfId="1774"/>
    <cellStyle name="Normal 65" xfId="100"/>
    <cellStyle name="Normal 65 10" xfId="2076"/>
    <cellStyle name="Normal 65 11" xfId="3121"/>
    <cellStyle name="Normal 65 2" xfId="348"/>
    <cellStyle name="Normal 65 3" xfId="532"/>
    <cellStyle name="Normal 65 4" xfId="742"/>
    <cellStyle name="Normal 65 5" xfId="951"/>
    <cellStyle name="Normal 65 6" xfId="1160"/>
    <cellStyle name="Normal 65 7" xfId="1366"/>
    <cellStyle name="Normal 65 8" xfId="1573"/>
    <cellStyle name="Normal 65 9" xfId="1775"/>
    <cellStyle name="Normal 66" xfId="101"/>
    <cellStyle name="Normal 66 10" xfId="2077"/>
    <cellStyle name="Normal 66 11" xfId="3122"/>
    <cellStyle name="Normal 66 2" xfId="349"/>
    <cellStyle name="Normal 66 3" xfId="533"/>
    <cellStyle name="Normal 66 4" xfId="743"/>
    <cellStyle name="Normal 66 5" xfId="952"/>
    <cellStyle name="Normal 66 6" xfId="1161"/>
    <cellStyle name="Normal 66 7" xfId="1367"/>
    <cellStyle name="Normal 66 8" xfId="1574"/>
    <cellStyle name="Normal 66 9" xfId="1776"/>
    <cellStyle name="Normal 67" xfId="102"/>
    <cellStyle name="Normal 67 10" xfId="2078"/>
    <cellStyle name="Normal 67 11" xfId="3123"/>
    <cellStyle name="Normal 67 2" xfId="350"/>
    <cellStyle name="Normal 67 3" xfId="534"/>
    <cellStyle name="Normal 67 4" xfId="744"/>
    <cellStyle name="Normal 67 5" xfId="953"/>
    <cellStyle name="Normal 67 6" xfId="1162"/>
    <cellStyle name="Normal 67 7" xfId="1368"/>
    <cellStyle name="Normal 67 8" xfId="1575"/>
    <cellStyle name="Normal 67 9" xfId="1777"/>
    <cellStyle name="Normal 68" xfId="103"/>
    <cellStyle name="Normal 68 10" xfId="2079"/>
    <cellStyle name="Normal 68 11" xfId="3124"/>
    <cellStyle name="Normal 68 2" xfId="351"/>
    <cellStyle name="Normal 68 3" xfId="535"/>
    <cellStyle name="Normal 68 4" xfId="745"/>
    <cellStyle name="Normal 68 5" xfId="954"/>
    <cellStyle name="Normal 68 6" xfId="1163"/>
    <cellStyle name="Normal 68 7" xfId="1369"/>
    <cellStyle name="Normal 68 8" xfId="1576"/>
    <cellStyle name="Normal 68 9" xfId="1778"/>
    <cellStyle name="Normal 69" xfId="104"/>
    <cellStyle name="Normal 69 10" xfId="2080"/>
    <cellStyle name="Normal 69 11" xfId="3125"/>
    <cellStyle name="Normal 69 2" xfId="352"/>
    <cellStyle name="Normal 69 3" xfId="536"/>
    <cellStyle name="Normal 69 4" xfId="746"/>
    <cellStyle name="Normal 69 5" xfId="955"/>
    <cellStyle name="Normal 69 6" xfId="1164"/>
    <cellStyle name="Normal 69 7" xfId="1370"/>
    <cellStyle name="Normal 69 8" xfId="1577"/>
    <cellStyle name="Normal 69 9" xfId="1779"/>
    <cellStyle name="Normal 7" xfId="60"/>
    <cellStyle name="Normal 7 10" xfId="485"/>
    <cellStyle name="Normal 7 11" xfId="695"/>
    <cellStyle name="Normal 7 12" xfId="904"/>
    <cellStyle name="Normal 7 13" xfId="1113"/>
    <cellStyle name="Normal 7 14" xfId="1319"/>
    <cellStyle name="Normal 7 15" xfId="1526"/>
    <cellStyle name="Normal 7 16" xfId="1728"/>
    <cellStyle name="Normal 7 17" xfId="1930"/>
    <cellStyle name="Normal 7 18" xfId="3126"/>
    <cellStyle name="Normal 7 2" xfId="112"/>
    <cellStyle name="Normal 7 2 10" xfId="2089"/>
    <cellStyle name="Normal 7 2 10 2" xfId="2596"/>
    <cellStyle name="Normal 7 2 10 3" xfId="2983"/>
    <cellStyle name="Normal 7 2 11" xfId="2250"/>
    <cellStyle name="Normal 7 2 12" xfId="2637"/>
    <cellStyle name="Normal 7 2 2" xfId="258"/>
    <cellStyle name="Normal 7 2 2 2" xfId="2287"/>
    <cellStyle name="Normal 7 2 2 3" xfId="2674"/>
    <cellStyle name="Normal 7 2 3" xfId="545"/>
    <cellStyle name="Normal 7 2 3 2" xfId="2334"/>
    <cellStyle name="Normal 7 2 3 3" xfId="2721"/>
    <cellStyle name="Normal 7 2 4" xfId="755"/>
    <cellStyle name="Normal 7 2 4 2" xfId="2369"/>
    <cellStyle name="Normal 7 2 4 3" xfId="2756"/>
    <cellStyle name="Normal 7 2 5" xfId="964"/>
    <cellStyle name="Normal 7 2 5 2" xfId="2404"/>
    <cellStyle name="Normal 7 2 5 3" xfId="2791"/>
    <cellStyle name="Normal 7 2 6" xfId="1173"/>
    <cellStyle name="Normal 7 2 6 2" xfId="2439"/>
    <cellStyle name="Normal 7 2 6 3" xfId="2826"/>
    <cellStyle name="Normal 7 2 7" xfId="1379"/>
    <cellStyle name="Normal 7 2 7 2" xfId="2470"/>
    <cellStyle name="Normal 7 2 7 3" xfId="2857"/>
    <cellStyle name="Normal 7 2 8" xfId="1586"/>
    <cellStyle name="Normal 7 2 8 2" xfId="2503"/>
    <cellStyle name="Normal 7 2 8 3" xfId="2890"/>
    <cellStyle name="Normal 7 2 9" xfId="1788"/>
    <cellStyle name="Normal 7 2 9 2" xfId="2532"/>
    <cellStyle name="Normal 7 2 9 3" xfId="2919"/>
    <cellStyle name="Normal 7 3" xfId="230"/>
    <cellStyle name="Normal 7 3 10" xfId="2207"/>
    <cellStyle name="Normal 7 3 10 2" xfId="2600"/>
    <cellStyle name="Normal 7 3 10 3" xfId="2987"/>
    <cellStyle name="Normal 7 3 11" xfId="2254"/>
    <cellStyle name="Normal 7 3 12" xfId="2641"/>
    <cellStyle name="Normal 7 3 2" xfId="262"/>
    <cellStyle name="Normal 7 3 2 2" xfId="2291"/>
    <cellStyle name="Normal 7 3 2 3" xfId="2678"/>
    <cellStyle name="Normal 7 3 3" xfId="664"/>
    <cellStyle name="Normal 7 3 3 2" xfId="2339"/>
    <cellStyle name="Normal 7 3 3 3" xfId="2726"/>
    <cellStyle name="Normal 7 3 4" xfId="874"/>
    <cellStyle name="Normal 7 3 4 2" xfId="2374"/>
    <cellStyle name="Normal 7 3 4 3" xfId="2761"/>
    <cellStyle name="Normal 7 3 5" xfId="1082"/>
    <cellStyle name="Normal 7 3 5 2" xfId="2408"/>
    <cellStyle name="Normal 7 3 5 3" xfId="2795"/>
    <cellStyle name="Normal 7 3 6" xfId="1292"/>
    <cellStyle name="Normal 7 3 6 2" xfId="2444"/>
    <cellStyle name="Normal 7 3 6 3" xfId="2831"/>
    <cellStyle name="Normal 7 3 7" xfId="1497"/>
    <cellStyle name="Normal 7 3 7 2" xfId="2474"/>
    <cellStyle name="Normal 7 3 7 3" xfId="2861"/>
    <cellStyle name="Normal 7 3 8" xfId="1704"/>
    <cellStyle name="Normal 7 3 8 2" xfId="2507"/>
    <cellStyle name="Normal 7 3 8 3" xfId="2894"/>
    <cellStyle name="Normal 7 3 9" xfId="1906"/>
    <cellStyle name="Normal 7 3 9 2" xfId="2536"/>
    <cellStyle name="Normal 7 3 9 3" xfId="2923"/>
    <cellStyle name="Normal 7 4" xfId="234"/>
    <cellStyle name="Normal 7 4 10" xfId="2211"/>
    <cellStyle name="Normal 7 4 10 2" xfId="2604"/>
    <cellStyle name="Normal 7 4 10 3" xfId="2991"/>
    <cellStyle name="Normal 7 4 11" xfId="2258"/>
    <cellStyle name="Normal 7 4 12" xfId="2645"/>
    <cellStyle name="Normal 7 4 2" xfId="266"/>
    <cellStyle name="Normal 7 4 2 2" xfId="2295"/>
    <cellStyle name="Normal 7 4 2 3" xfId="2682"/>
    <cellStyle name="Normal 7 4 3" xfId="668"/>
    <cellStyle name="Normal 7 4 3 2" xfId="2343"/>
    <cellStyle name="Normal 7 4 3 3" xfId="2730"/>
    <cellStyle name="Normal 7 4 4" xfId="878"/>
    <cellStyle name="Normal 7 4 4 2" xfId="2378"/>
    <cellStyle name="Normal 7 4 4 3" xfId="2765"/>
    <cellStyle name="Normal 7 4 5" xfId="1086"/>
    <cellStyle name="Normal 7 4 5 2" xfId="2412"/>
    <cellStyle name="Normal 7 4 5 3" xfId="2799"/>
    <cellStyle name="Normal 7 4 6" xfId="1296"/>
    <cellStyle name="Normal 7 4 6 2" xfId="2448"/>
    <cellStyle name="Normal 7 4 6 3" xfId="2835"/>
    <cellStyle name="Normal 7 4 7" xfId="1501"/>
    <cellStyle name="Normal 7 4 7 2" xfId="2478"/>
    <cellStyle name="Normal 7 4 7 3" xfId="2865"/>
    <cellStyle name="Normal 7 4 8" xfId="1708"/>
    <cellStyle name="Normal 7 4 8 2" xfId="2511"/>
    <cellStyle name="Normal 7 4 8 3" xfId="2898"/>
    <cellStyle name="Normal 7 4 9" xfId="1910"/>
    <cellStyle name="Normal 7 4 9 2" xfId="2540"/>
    <cellStyle name="Normal 7 4 9 3" xfId="2927"/>
    <cellStyle name="Normal 7 5" xfId="238"/>
    <cellStyle name="Normal 7 5 10" xfId="2215"/>
    <cellStyle name="Normal 7 5 10 2" xfId="2608"/>
    <cellStyle name="Normal 7 5 10 3" xfId="2995"/>
    <cellStyle name="Normal 7 5 11" xfId="2262"/>
    <cellStyle name="Normal 7 5 12" xfId="2649"/>
    <cellStyle name="Normal 7 5 2" xfId="270"/>
    <cellStyle name="Normal 7 5 2 2" xfId="2299"/>
    <cellStyle name="Normal 7 5 2 3" xfId="2686"/>
    <cellStyle name="Normal 7 5 3" xfId="672"/>
    <cellStyle name="Normal 7 5 3 2" xfId="2347"/>
    <cellStyle name="Normal 7 5 3 3" xfId="2734"/>
    <cellStyle name="Normal 7 5 4" xfId="882"/>
    <cellStyle name="Normal 7 5 4 2" xfId="2382"/>
    <cellStyle name="Normal 7 5 4 3" xfId="2769"/>
    <cellStyle name="Normal 7 5 5" xfId="1090"/>
    <cellStyle name="Normal 7 5 5 2" xfId="2416"/>
    <cellStyle name="Normal 7 5 5 3" xfId="2803"/>
    <cellStyle name="Normal 7 5 6" xfId="1300"/>
    <cellStyle name="Normal 7 5 6 2" xfId="2452"/>
    <cellStyle name="Normal 7 5 6 3" xfId="2839"/>
    <cellStyle name="Normal 7 5 7" xfId="1505"/>
    <cellStyle name="Normal 7 5 7 2" xfId="2482"/>
    <cellStyle name="Normal 7 5 7 3" xfId="2869"/>
    <cellStyle name="Normal 7 5 8" xfId="1712"/>
    <cellStyle name="Normal 7 5 8 2" xfId="2515"/>
    <cellStyle name="Normal 7 5 8 3" xfId="2902"/>
    <cellStyle name="Normal 7 5 9" xfId="1914"/>
    <cellStyle name="Normal 7 5 9 2" xfId="2544"/>
    <cellStyle name="Normal 7 5 9 3" xfId="2931"/>
    <cellStyle name="Normal 7 6" xfId="243"/>
    <cellStyle name="Normal 7 6 10" xfId="2220"/>
    <cellStyle name="Normal 7 6 10 2" xfId="2613"/>
    <cellStyle name="Normal 7 6 10 3" xfId="3000"/>
    <cellStyle name="Normal 7 6 11" xfId="2267"/>
    <cellStyle name="Normal 7 6 12" xfId="2654"/>
    <cellStyle name="Normal 7 6 2" xfId="275"/>
    <cellStyle name="Normal 7 6 2 2" xfId="2304"/>
    <cellStyle name="Normal 7 6 2 3" xfId="2691"/>
    <cellStyle name="Normal 7 6 3" xfId="677"/>
    <cellStyle name="Normal 7 6 3 2" xfId="2352"/>
    <cellStyle name="Normal 7 6 3 3" xfId="2739"/>
    <cellStyle name="Normal 7 6 4" xfId="887"/>
    <cellStyle name="Normal 7 6 4 2" xfId="2387"/>
    <cellStyle name="Normal 7 6 4 3" xfId="2774"/>
    <cellStyle name="Normal 7 6 5" xfId="1095"/>
    <cellStyle name="Normal 7 6 5 2" xfId="2421"/>
    <cellStyle name="Normal 7 6 5 3" xfId="2808"/>
    <cellStyle name="Normal 7 6 6" xfId="1305"/>
    <cellStyle name="Normal 7 6 6 2" xfId="2457"/>
    <cellStyle name="Normal 7 6 6 3" xfId="2844"/>
    <cellStyle name="Normal 7 6 7" xfId="1510"/>
    <cellStyle name="Normal 7 6 7 2" xfId="2487"/>
    <cellStyle name="Normal 7 6 7 3" xfId="2874"/>
    <cellStyle name="Normal 7 6 8" xfId="1717"/>
    <cellStyle name="Normal 7 6 8 2" xfId="2520"/>
    <cellStyle name="Normal 7 6 8 3" xfId="2907"/>
    <cellStyle name="Normal 7 6 9" xfId="1919"/>
    <cellStyle name="Normal 7 6 9 2" xfId="2549"/>
    <cellStyle name="Normal 7 6 9 3" xfId="2936"/>
    <cellStyle name="Normal 7 7" xfId="247"/>
    <cellStyle name="Normal 7 7 10" xfId="2224"/>
    <cellStyle name="Normal 7 7 10 2" xfId="2617"/>
    <cellStyle name="Normal 7 7 10 3" xfId="3004"/>
    <cellStyle name="Normal 7 7 11" xfId="2271"/>
    <cellStyle name="Normal 7 7 12" xfId="2658"/>
    <cellStyle name="Normal 7 7 2" xfId="279"/>
    <cellStyle name="Normal 7 7 2 2" xfId="2308"/>
    <cellStyle name="Normal 7 7 2 3" xfId="2695"/>
    <cellStyle name="Normal 7 7 3" xfId="681"/>
    <cellStyle name="Normal 7 7 3 2" xfId="2356"/>
    <cellStyle name="Normal 7 7 3 3" xfId="2743"/>
    <cellStyle name="Normal 7 7 4" xfId="891"/>
    <cellStyle name="Normal 7 7 4 2" xfId="2391"/>
    <cellStyle name="Normal 7 7 4 3" xfId="2778"/>
    <cellStyle name="Normal 7 7 5" xfId="1099"/>
    <cellStyle name="Normal 7 7 5 2" xfId="2425"/>
    <cellStyle name="Normal 7 7 5 3" xfId="2812"/>
    <cellStyle name="Normal 7 7 6" xfId="1309"/>
    <cellStyle name="Normal 7 7 6 2" xfId="2461"/>
    <cellStyle name="Normal 7 7 6 3" xfId="2848"/>
    <cellStyle name="Normal 7 7 7" xfId="1514"/>
    <cellStyle name="Normal 7 7 7 2" xfId="2491"/>
    <cellStyle name="Normal 7 7 7 3" xfId="2878"/>
    <cellStyle name="Normal 7 7 8" xfId="1721"/>
    <cellStyle name="Normal 7 7 8 2" xfId="2524"/>
    <cellStyle name="Normal 7 7 8 3" xfId="2911"/>
    <cellStyle name="Normal 7 7 9" xfId="1923"/>
    <cellStyle name="Normal 7 7 9 2" xfId="2553"/>
    <cellStyle name="Normal 7 7 9 3" xfId="2940"/>
    <cellStyle name="Normal 7 8" xfId="251"/>
    <cellStyle name="Normal 7 8 10" xfId="2228"/>
    <cellStyle name="Normal 7 8 10 2" xfId="2621"/>
    <cellStyle name="Normal 7 8 10 3" xfId="3008"/>
    <cellStyle name="Normal 7 8 11" xfId="2275"/>
    <cellStyle name="Normal 7 8 12" xfId="2662"/>
    <cellStyle name="Normal 7 8 2" xfId="283"/>
    <cellStyle name="Normal 7 8 2 2" xfId="2312"/>
    <cellStyle name="Normal 7 8 2 3" xfId="2699"/>
    <cellStyle name="Normal 7 8 3" xfId="685"/>
    <cellStyle name="Normal 7 8 3 2" xfId="2360"/>
    <cellStyle name="Normal 7 8 3 3" xfId="2747"/>
    <cellStyle name="Normal 7 8 4" xfId="895"/>
    <cellStyle name="Normal 7 8 4 2" xfId="2395"/>
    <cellStyle name="Normal 7 8 4 3" xfId="2782"/>
    <cellStyle name="Normal 7 8 5" xfId="1103"/>
    <cellStyle name="Normal 7 8 5 2" xfId="2429"/>
    <cellStyle name="Normal 7 8 5 3" xfId="2816"/>
    <cellStyle name="Normal 7 8 6" xfId="1313"/>
    <cellStyle name="Normal 7 8 6 2" xfId="2465"/>
    <cellStyle name="Normal 7 8 6 3" xfId="2852"/>
    <cellStyle name="Normal 7 8 7" xfId="1518"/>
    <cellStyle name="Normal 7 8 7 2" xfId="2495"/>
    <cellStyle name="Normal 7 8 7 3" xfId="2882"/>
    <cellStyle name="Normal 7 8 8" xfId="1725"/>
    <cellStyle name="Normal 7 8 8 2" xfId="2528"/>
    <cellStyle name="Normal 7 8 8 3" xfId="2915"/>
    <cellStyle name="Normal 7 8 9" xfId="1927"/>
    <cellStyle name="Normal 7 8 9 2" xfId="2557"/>
    <cellStyle name="Normal 7 8 9 3" xfId="2944"/>
    <cellStyle name="Normal 7 9" xfId="301"/>
    <cellStyle name="Normal 70" xfId="47"/>
    <cellStyle name="Normal 71" xfId="105"/>
    <cellStyle name="Normal 71 10" xfId="2081"/>
    <cellStyle name="Normal 71 11" xfId="3127"/>
    <cellStyle name="Normal 71 2" xfId="353"/>
    <cellStyle name="Normal 71 3" xfId="537"/>
    <cellStyle name="Normal 71 4" xfId="747"/>
    <cellStyle name="Normal 71 5" xfId="956"/>
    <cellStyle name="Normal 71 6" xfId="1165"/>
    <cellStyle name="Normal 71 7" xfId="1371"/>
    <cellStyle name="Normal 71 8" xfId="1578"/>
    <cellStyle name="Normal 71 9" xfId="1780"/>
    <cellStyle name="Normal 72" xfId="27"/>
    <cellStyle name="Normal 72 10" xfId="2082"/>
    <cellStyle name="Normal 72 11" xfId="3128"/>
    <cellStyle name="Normal 72 2" xfId="354"/>
    <cellStyle name="Normal 72 3" xfId="538"/>
    <cellStyle name="Normal 72 4" xfId="748"/>
    <cellStyle name="Normal 72 5" xfId="957"/>
    <cellStyle name="Normal 72 6" xfId="1166"/>
    <cellStyle name="Normal 72 7" xfId="1372"/>
    <cellStyle name="Normal 72 8" xfId="1579"/>
    <cellStyle name="Normal 72 9" xfId="1781"/>
    <cellStyle name="Normal 73" xfId="106"/>
    <cellStyle name="Normal 73 10" xfId="2083"/>
    <cellStyle name="Normal 73 11" xfId="3129"/>
    <cellStyle name="Normal 73 2" xfId="355"/>
    <cellStyle name="Normal 73 3" xfId="539"/>
    <cellStyle name="Normal 73 4" xfId="749"/>
    <cellStyle name="Normal 73 5" xfId="958"/>
    <cellStyle name="Normal 73 6" xfId="1167"/>
    <cellStyle name="Normal 73 7" xfId="1373"/>
    <cellStyle name="Normal 73 8" xfId="1580"/>
    <cellStyle name="Normal 73 9" xfId="1782"/>
    <cellStyle name="Normal 74" xfId="107"/>
    <cellStyle name="Normal 74 10" xfId="2084"/>
    <cellStyle name="Normal 74 11" xfId="3130"/>
    <cellStyle name="Normal 74 2" xfId="356"/>
    <cellStyle name="Normal 74 3" xfId="540"/>
    <cellStyle name="Normal 74 4" xfId="750"/>
    <cellStyle name="Normal 74 5" xfId="959"/>
    <cellStyle name="Normal 74 6" xfId="1168"/>
    <cellStyle name="Normal 74 7" xfId="1374"/>
    <cellStyle name="Normal 74 8" xfId="1581"/>
    <cellStyle name="Normal 74 9" xfId="1783"/>
    <cellStyle name="Normal 75" xfId="108"/>
    <cellStyle name="Normal 75 10" xfId="2085"/>
    <cellStyle name="Normal 75 11" xfId="3131"/>
    <cellStyle name="Normal 75 2" xfId="357"/>
    <cellStyle name="Normal 75 3" xfId="541"/>
    <cellStyle name="Normal 75 4" xfId="751"/>
    <cellStyle name="Normal 75 5" xfId="960"/>
    <cellStyle name="Normal 75 6" xfId="1169"/>
    <cellStyle name="Normal 75 7" xfId="1375"/>
    <cellStyle name="Normal 75 8" xfId="1582"/>
    <cellStyle name="Normal 75 9" xfId="1784"/>
    <cellStyle name="Normal 76" xfId="109"/>
    <cellStyle name="Normal 76 10" xfId="2086"/>
    <cellStyle name="Normal 76 11" xfId="3132"/>
    <cellStyle name="Normal 76 2" xfId="358"/>
    <cellStyle name="Normal 76 3" xfId="542"/>
    <cellStyle name="Normal 76 4" xfId="752"/>
    <cellStyle name="Normal 76 5" xfId="961"/>
    <cellStyle name="Normal 76 6" xfId="1170"/>
    <cellStyle name="Normal 76 7" xfId="1376"/>
    <cellStyle name="Normal 76 8" xfId="1583"/>
    <cellStyle name="Normal 76 9" xfId="1785"/>
    <cellStyle name="Normal 77" xfId="110"/>
    <cellStyle name="Normal 77 10" xfId="2087"/>
    <cellStyle name="Normal 77 11" xfId="3133"/>
    <cellStyle name="Normal 77 2" xfId="359"/>
    <cellStyle name="Normal 77 3" xfId="543"/>
    <cellStyle name="Normal 77 4" xfId="753"/>
    <cellStyle name="Normal 77 5" xfId="962"/>
    <cellStyle name="Normal 77 6" xfId="1171"/>
    <cellStyle name="Normal 77 7" xfId="1377"/>
    <cellStyle name="Normal 77 8" xfId="1584"/>
    <cellStyle name="Normal 77 9" xfId="1786"/>
    <cellStyle name="Normal 78" xfId="48"/>
    <cellStyle name="Normal 79" xfId="49"/>
    <cellStyle name="Normal 8" xfId="61"/>
    <cellStyle name="Normal 8 10" xfId="486"/>
    <cellStyle name="Normal 8 11" xfId="696"/>
    <cellStyle name="Normal 8 12" xfId="905"/>
    <cellStyle name="Normal 8 13" xfId="1114"/>
    <cellStyle name="Normal 8 14" xfId="1320"/>
    <cellStyle name="Normal 8 15" xfId="1527"/>
    <cellStyle name="Normal 8 16" xfId="1729"/>
    <cellStyle name="Normal 8 17" xfId="1955"/>
    <cellStyle name="Normal 8 18" xfId="3134"/>
    <cellStyle name="Normal 8 2" xfId="113"/>
    <cellStyle name="Normal 8 2 10" xfId="2090"/>
    <cellStyle name="Normal 8 2 10 2" xfId="2597"/>
    <cellStyle name="Normal 8 2 10 3" xfId="2984"/>
    <cellStyle name="Normal 8 2 11" xfId="2251"/>
    <cellStyle name="Normal 8 2 12" xfId="2638"/>
    <cellStyle name="Normal 8 2 2" xfId="259"/>
    <cellStyle name="Normal 8 2 2 2" xfId="2288"/>
    <cellStyle name="Normal 8 2 2 3" xfId="2675"/>
    <cellStyle name="Normal 8 2 3" xfId="546"/>
    <cellStyle name="Normal 8 2 3 2" xfId="2335"/>
    <cellStyle name="Normal 8 2 3 3" xfId="2722"/>
    <cellStyle name="Normal 8 2 4" xfId="756"/>
    <cellStyle name="Normal 8 2 4 2" xfId="2370"/>
    <cellStyle name="Normal 8 2 4 3" xfId="2757"/>
    <cellStyle name="Normal 8 2 5" xfId="965"/>
    <cellStyle name="Normal 8 2 5 2" xfId="2405"/>
    <cellStyle name="Normal 8 2 5 3" xfId="2792"/>
    <cellStyle name="Normal 8 2 6" xfId="1174"/>
    <cellStyle name="Normal 8 2 6 2" xfId="2440"/>
    <cellStyle name="Normal 8 2 6 3" xfId="2827"/>
    <cellStyle name="Normal 8 2 7" xfId="1380"/>
    <cellStyle name="Normal 8 2 7 2" xfId="2471"/>
    <cellStyle name="Normal 8 2 7 3" xfId="2858"/>
    <cellStyle name="Normal 8 2 8" xfId="1587"/>
    <cellStyle name="Normal 8 2 8 2" xfId="2504"/>
    <cellStyle name="Normal 8 2 8 3" xfId="2891"/>
    <cellStyle name="Normal 8 2 9" xfId="1789"/>
    <cellStyle name="Normal 8 2 9 2" xfId="2533"/>
    <cellStyle name="Normal 8 2 9 3" xfId="2920"/>
    <cellStyle name="Normal 8 3" xfId="231"/>
    <cellStyle name="Normal 8 3 10" xfId="2208"/>
    <cellStyle name="Normal 8 3 10 2" xfId="2601"/>
    <cellStyle name="Normal 8 3 10 3" xfId="2988"/>
    <cellStyle name="Normal 8 3 11" xfId="2255"/>
    <cellStyle name="Normal 8 3 12" xfId="2642"/>
    <cellStyle name="Normal 8 3 2" xfId="263"/>
    <cellStyle name="Normal 8 3 2 2" xfId="2292"/>
    <cellStyle name="Normal 8 3 2 3" xfId="2679"/>
    <cellStyle name="Normal 8 3 3" xfId="665"/>
    <cellStyle name="Normal 8 3 3 2" xfId="2340"/>
    <cellStyle name="Normal 8 3 3 3" xfId="2727"/>
    <cellStyle name="Normal 8 3 4" xfId="875"/>
    <cellStyle name="Normal 8 3 4 2" xfId="2375"/>
    <cellStyle name="Normal 8 3 4 3" xfId="2762"/>
    <cellStyle name="Normal 8 3 5" xfId="1083"/>
    <cellStyle name="Normal 8 3 5 2" xfId="2409"/>
    <cellStyle name="Normal 8 3 5 3" xfId="2796"/>
    <cellStyle name="Normal 8 3 6" xfId="1293"/>
    <cellStyle name="Normal 8 3 6 2" xfId="2445"/>
    <cellStyle name="Normal 8 3 6 3" xfId="2832"/>
    <cellStyle name="Normal 8 3 7" xfId="1498"/>
    <cellStyle name="Normal 8 3 7 2" xfId="2475"/>
    <cellStyle name="Normal 8 3 7 3" xfId="2862"/>
    <cellStyle name="Normal 8 3 8" xfId="1705"/>
    <cellStyle name="Normal 8 3 8 2" xfId="2508"/>
    <cellStyle name="Normal 8 3 8 3" xfId="2895"/>
    <cellStyle name="Normal 8 3 9" xfId="1907"/>
    <cellStyle name="Normal 8 3 9 2" xfId="2537"/>
    <cellStyle name="Normal 8 3 9 3" xfId="2924"/>
    <cellStyle name="Normal 8 4" xfId="235"/>
    <cellStyle name="Normal 8 4 10" xfId="2212"/>
    <cellStyle name="Normal 8 4 10 2" xfId="2605"/>
    <cellStyle name="Normal 8 4 10 3" xfId="2992"/>
    <cellStyle name="Normal 8 4 11" xfId="2259"/>
    <cellStyle name="Normal 8 4 12" xfId="2646"/>
    <cellStyle name="Normal 8 4 2" xfId="267"/>
    <cellStyle name="Normal 8 4 2 2" xfId="2296"/>
    <cellStyle name="Normal 8 4 2 3" xfId="2683"/>
    <cellStyle name="Normal 8 4 3" xfId="669"/>
    <cellStyle name="Normal 8 4 3 2" xfId="2344"/>
    <cellStyle name="Normal 8 4 3 3" xfId="2731"/>
    <cellStyle name="Normal 8 4 4" xfId="879"/>
    <cellStyle name="Normal 8 4 4 2" xfId="2379"/>
    <cellStyle name="Normal 8 4 4 3" xfId="2766"/>
    <cellStyle name="Normal 8 4 5" xfId="1087"/>
    <cellStyle name="Normal 8 4 5 2" xfId="2413"/>
    <cellStyle name="Normal 8 4 5 3" xfId="2800"/>
    <cellStyle name="Normal 8 4 6" xfId="1297"/>
    <cellStyle name="Normal 8 4 6 2" xfId="2449"/>
    <cellStyle name="Normal 8 4 6 3" xfId="2836"/>
    <cellStyle name="Normal 8 4 7" xfId="1502"/>
    <cellStyle name="Normal 8 4 7 2" xfId="2479"/>
    <cellStyle name="Normal 8 4 7 3" xfId="2866"/>
    <cellStyle name="Normal 8 4 8" xfId="1709"/>
    <cellStyle name="Normal 8 4 8 2" xfId="2512"/>
    <cellStyle name="Normal 8 4 8 3" xfId="2899"/>
    <cellStyle name="Normal 8 4 9" xfId="1911"/>
    <cellStyle name="Normal 8 4 9 2" xfId="2541"/>
    <cellStyle name="Normal 8 4 9 3" xfId="2928"/>
    <cellStyle name="Normal 8 5" xfId="239"/>
    <cellStyle name="Normal 8 5 10" xfId="2216"/>
    <cellStyle name="Normal 8 5 10 2" xfId="2609"/>
    <cellStyle name="Normal 8 5 10 3" xfId="2996"/>
    <cellStyle name="Normal 8 5 11" xfId="2263"/>
    <cellStyle name="Normal 8 5 12" xfId="2650"/>
    <cellStyle name="Normal 8 5 2" xfId="271"/>
    <cellStyle name="Normal 8 5 2 2" xfId="2300"/>
    <cellStyle name="Normal 8 5 2 3" xfId="2687"/>
    <cellStyle name="Normal 8 5 3" xfId="673"/>
    <cellStyle name="Normal 8 5 3 2" xfId="2348"/>
    <cellStyle name="Normal 8 5 3 3" xfId="2735"/>
    <cellStyle name="Normal 8 5 4" xfId="883"/>
    <cellStyle name="Normal 8 5 4 2" xfId="2383"/>
    <cellStyle name="Normal 8 5 4 3" xfId="2770"/>
    <cellStyle name="Normal 8 5 5" xfId="1091"/>
    <cellStyle name="Normal 8 5 5 2" xfId="2417"/>
    <cellStyle name="Normal 8 5 5 3" xfId="2804"/>
    <cellStyle name="Normal 8 5 6" xfId="1301"/>
    <cellStyle name="Normal 8 5 6 2" xfId="2453"/>
    <cellStyle name="Normal 8 5 6 3" xfId="2840"/>
    <cellStyle name="Normal 8 5 7" xfId="1506"/>
    <cellStyle name="Normal 8 5 7 2" xfId="2483"/>
    <cellStyle name="Normal 8 5 7 3" xfId="2870"/>
    <cellStyle name="Normal 8 5 8" xfId="1713"/>
    <cellStyle name="Normal 8 5 8 2" xfId="2516"/>
    <cellStyle name="Normal 8 5 8 3" xfId="2903"/>
    <cellStyle name="Normal 8 5 9" xfId="1915"/>
    <cellStyle name="Normal 8 5 9 2" xfId="2545"/>
    <cellStyle name="Normal 8 5 9 3" xfId="2932"/>
    <cellStyle name="Normal 8 6" xfId="242"/>
    <cellStyle name="Normal 8 6 10" xfId="2219"/>
    <cellStyle name="Normal 8 6 10 2" xfId="2612"/>
    <cellStyle name="Normal 8 6 10 3" xfId="2999"/>
    <cellStyle name="Normal 8 6 11" xfId="2266"/>
    <cellStyle name="Normal 8 6 12" xfId="2653"/>
    <cellStyle name="Normal 8 6 2" xfId="274"/>
    <cellStyle name="Normal 8 6 2 2" xfId="2303"/>
    <cellStyle name="Normal 8 6 2 3" xfId="2690"/>
    <cellStyle name="Normal 8 6 3" xfId="676"/>
    <cellStyle name="Normal 8 6 3 2" xfId="2351"/>
    <cellStyle name="Normal 8 6 3 3" xfId="2738"/>
    <cellStyle name="Normal 8 6 4" xfId="886"/>
    <cellStyle name="Normal 8 6 4 2" xfId="2386"/>
    <cellStyle name="Normal 8 6 4 3" xfId="2773"/>
    <cellStyle name="Normal 8 6 5" xfId="1094"/>
    <cellStyle name="Normal 8 6 5 2" xfId="2420"/>
    <cellStyle name="Normal 8 6 5 3" xfId="2807"/>
    <cellStyle name="Normal 8 6 6" xfId="1304"/>
    <cellStyle name="Normal 8 6 6 2" xfId="2456"/>
    <cellStyle name="Normal 8 6 6 3" xfId="2843"/>
    <cellStyle name="Normal 8 6 7" xfId="1509"/>
    <cellStyle name="Normal 8 6 7 2" xfId="2486"/>
    <cellStyle name="Normal 8 6 7 3" xfId="2873"/>
    <cellStyle name="Normal 8 6 8" xfId="1716"/>
    <cellStyle name="Normal 8 6 8 2" xfId="2519"/>
    <cellStyle name="Normal 8 6 8 3" xfId="2906"/>
    <cellStyle name="Normal 8 6 9" xfId="1918"/>
    <cellStyle name="Normal 8 6 9 2" xfId="2548"/>
    <cellStyle name="Normal 8 6 9 3" xfId="2935"/>
    <cellStyle name="Normal 8 7" xfId="246"/>
    <cellStyle name="Normal 8 7 10" xfId="2223"/>
    <cellStyle name="Normal 8 7 10 2" xfId="2616"/>
    <cellStyle name="Normal 8 7 10 3" xfId="3003"/>
    <cellStyle name="Normal 8 7 11" xfId="2270"/>
    <cellStyle name="Normal 8 7 12" xfId="2657"/>
    <cellStyle name="Normal 8 7 2" xfId="278"/>
    <cellStyle name="Normal 8 7 2 2" xfId="2307"/>
    <cellStyle name="Normal 8 7 2 3" xfId="2694"/>
    <cellStyle name="Normal 8 7 3" xfId="680"/>
    <cellStyle name="Normal 8 7 3 2" xfId="2355"/>
    <cellStyle name="Normal 8 7 3 3" xfId="2742"/>
    <cellStyle name="Normal 8 7 4" xfId="890"/>
    <cellStyle name="Normal 8 7 4 2" xfId="2390"/>
    <cellStyle name="Normal 8 7 4 3" xfId="2777"/>
    <cellStyle name="Normal 8 7 5" xfId="1098"/>
    <cellStyle name="Normal 8 7 5 2" xfId="2424"/>
    <cellStyle name="Normal 8 7 5 3" xfId="2811"/>
    <cellStyle name="Normal 8 7 6" xfId="1308"/>
    <cellStyle name="Normal 8 7 6 2" xfId="2460"/>
    <cellStyle name="Normal 8 7 6 3" xfId="2847"/>
    <cellStyle name="Normal 8 7 7" xfId="1513"/>
    <cellStyle name="Normal 8 7 7 2" xfId="2490"/>
    <cellStyle name="Normal 8 7 7 3" xfId="2877"/>
    <cellStyle name="Normal 8 7 8" xfId="1720"/>
    <cellStyle name="Normal 8 7 8 2" xfId="2523"/>
    <cellStyle name="Normal 8 7 8 3" xfId="2910"/>
    <cellStyle name="Normal 8 7 9" xfId="1922"/>
    <cellStyle name="Normal 8 7 9 2" xfId="2552"/>
    <cellStyle name="Normal 8 7 9 3" xfId="2939"/>
    <cellStyle name="Normal 8 8" xfId="250"/>
    <cellStyle name="Normal 8 8 10" xfId="2227"/>
    <cellStyle name="Normal 8 8 10 2" xfId="2620"/>
    <cellStyle name="Normal 8 8 10 3" xfId="3007"/>
    <cellStyle name="Normal 8 8 11" xfId="2274"/>
    <cellStyle name="Normal 8 8 12" xfId="2661"/>
    <cellStyle name="Normal 8 8 2" xfId="282"/>
    <cellStyle name="Normal 8 8 2 2" xfId="2311"/>
    <cellStyle name="Normal 8 8 2 3" xfId="2698"/>
    <cellStyle name="Normal 8 8 3" xfId="684"/>
    <cellStyle name="Normal 8 8 3 2" xfId="2359"/>
    <cellStyle name="Normal 8 8 3 3" xfId="2746"/>
    <cellStyle name="Normal 8 8 4" xfId="894"/>
    <cellStyle name="Normal 8 8 4 2" xfId="2394"/>
    <cellStyle name="Normal 8 8 4 3" xfId="2781"/>
    <cellStyle name="Normal 8 8 5" xfId="1102"/>
    <cellStyle name="Normal 8 8 5 2" xfId="2428"/>
    <cellStyle name="Normal 8 8 5 3" xfId="2815"/>
    <cellStyle name="Normal 8 8 6" xfId="1312"/>
    <cellStyle name="Normal 8 8 6 2" xfId="2464"/>
    <cellStyle name="Normal 8 8 6 3" xfId="2851"/>
    <cellStyle name="Normal 8 8 7" xfId="1517"/>
    <cellStyle name="Normal 8 8 7 2" xfId="2494"/>
    <cellStyle name="Normal 8 8 7 3" xfId="2881"/>
    <cellStyle name="Normal 8 8 8" xfId="1724"/>
    <cellStyle name="Normal 8 8 8 2" xfId="2527"/>
    <cellStyle name="Normal 8 8 8 3" xfId="2914"/>
    <cellStyle name="Normal 8 8 9" xfId="1926"/>
    <cellStyle name="Normal 8 8 9 2" xfId="2556"/>
    <cellStyle name="Normal 8 8 9 3" xfId="2943"/>
    <cellStyle name="Normal 8 9" xfId="302"/>
    <cellStyle name="Normal 80" xfId="2023"/>
    <cellStyle name="Normal 80 2" xfId="3135"/>
    <cellStyle name="Normal 81" xfId="50"/>
    <cellStyle name="Normal 82" xfId="2024"/>
    <cellStyle name="Normal 82 2" xfId="3136"/>
    <cellStyle name="Normal 83" xfId="2025"/>
    <cellStyle name="Normal 83 2" xfId="3137"/>
    <cellStyle name="Normal 84" xfId="51"/>
    <cellStyle name="Normal 85" xfId="2026"/>
    <cellStyle name="Normal 85 2" xfId="3138"/>
    <cellStyle name="Normal 86" xfId="52"/>
    <cellStyle name="Normal 87" xfId="2027"/>
    <cellStyle name="Normal 87 2" xfId="3139"/>
    <cellStyle name="Normal 88" xfId="53"/>
    <cellStyle name="Normal 89" xfId="2028"/>
    <cellStyle name="Normal 89 2" xfId="3140"/>
    <cellStyle name="Normal 9" xfId="2029"/>
    <cellStyle name="Normal 9 2" xfId="3141"/>
    <cellStyle name="Normal 90" xfId="2030"/>
    <cellStyle name="Normal 90 2" xfId="3142"/>
    <cellStyle name="Normal 91" xfId="2031"/>
    <cellStyle name="Normal 91 2" xfId="3143"/>
    <cellStyle name="Normal 92" xfId="54"/>
    <cellStyle name="Normal 93" xfId="2032"/>
    <cellStyle name="Normal 93 2" xfId="3144"/>
    <cellStyle name="Normal 94" xfId="55"/>
    <cellStyle name="Normal 95" xfId="2033"/>
    <cellStyle name="Normal 95 2" xfId="3145"/>
    <cellStyle name="Normal 96" xfId="56"/>
    <cellStyle name="Normal 97" xfId="2034"/>
    <cellStyle name="Normal 97 2" xfId="3146"/>
    <cellStyle name="Normal 98" xfId="57"/>
    <cellStyle name="Normal 99" xfId="2035"/>
    <cellStyle name="Normal 99 2" xfId="3147"/>
    <cellStyle name="Total 2" xfId="2036"/>
    <cellStyle name="เครื่องหมายจุลภาค 101" xfId="191"/>
    <cellStyle name="เครื่องหมายจุลภาค 101 10" xfId="2168"/>
    <cellStyle name="เครื่องหมายจุลภาค 101 11" xfId="3148"/>
    <cellStyle name="เครื่องหมายจุลภาค 101 2" xfId="436"/>
    <cellStyle name="เครื่องหมายจุลภาค 101 3" xfId="625"/>
    <cellStyle name="เครื่องหมายจุลภาค 101 4" xfId="835"/>
    <cellStyle name="เครื่องหมายจุลภาค 101 5" xfId="1043"/>
    <cellStyle name="เครื่องหมายจุลภาค 101 6" xfId="1253"/>
    <cellStyle name="เครื่องหมายจุลภาค 101 7" xfId="1458"/>
    <cellStyle name="เครื่องหมายจุลภาค 101 8" xfId="1665"/>
    <cellStyle name="เครื่องหมายจุลภาค 101 9" xfId="1867"/>
    <cellStyle name="เครื่องหมายจุลภาค 103" xfId="194"/>
    <cellStyle name="เครื่องหมายจุลภาค 103 10" xfId="2171"/>
    <cellStyle name="เครื่องหมายจุลภาค 103 11" xfId="3149"/>
    <cellStyle name="เครื่องหมายจุลภาค 103 2" xfId="439"/>
    <cellStyle name="เครื่องหมายจุลภาค 103 3" xfId="628"/>
    <cellStyle name="เครื่องหมายจุลภาค 103 4" xfId="838"/>
    <cellStyle name="เครื่องหมายจุลภาค 103 5" xfId="1046"/>
    <cellStyle name="เครื่องหมายจุลภาค 103 6" xfId="1256"/>
    <cellStyle name="เครื่องหมายจุลภาค 103 7" xfId="1461"/>
    <cellStyle name="เครื่องหมายจุลภาค 103 8" xfId="1668"/>
    <cellStyle name="เครื่องหมายจุลภาค 103 9" xfId="1870"/>
    <cellStyle name="เครื่องหมายจุลภาค 107" xfId="197"/>
    <cellStyle name="เครื่องหมายจุลภาค 107 10" xfId="2174"/>
    <cellStyle name="เครื่องหมายจุลภาค 107 11" xfId="3150"/>
    <cellStyle name="เครื่องหมายจุลภาค 107 2" xfId="442"/>
    <cellStyle name="เครื่องหมายจุลภาค 107 3" xfId="631"/>
    <cellStyle name="เครื่องหมายจุลภาค 107 4" xfId="841"/>
    <cellStyle name="เครื่องหมายจุลภาค 107 5" xfId="1049"/>
    <cellStyle name="เครื่องหมายจุลภาค 107 6" xfId="1259"/>
    <cellStyle name="เครื่องหมายจุลภาค 107 7" xfId="1464"/>
    <cellStyle name="เครื่องหมายจุลภาค 107 8" xfId="1671"/>
    <cellStyle name="เครื่องหมายจุลภาค 107 9" xfId="1873"/>
    <cellStyle name="เครื่องหมายจุลภาค 109" xfId="200"/>
    <cellStyle name="เครื่องหมายจุลภาค 109 10" xfId="2177"/>
    <cellStyle name="เครื่องหมายจุลภาค 109 11" xfId="3151"/>
    <cellStyle name="เครื่องหมายจุลภาค 109 2" xfId="445"/>
    <cellStyle name="เครื่องหมายจุลภาค 109 3" xfId="634"/>
    <cellStyle name="เครื่องหมายจุลภาค 109 4" xfId="844"/>
    <cellStyle name="เครื่องหมายจุลภาค 109 5" xfId="1052"/>
    <cellStyle name="เครื่องหมายจุลภาค 109 6" xfId="1262"/>
    <cellStyle name="เครื่องหมายจุลภาค 109 7" xfId="1467"/>
    <cellStyle name="เครื่องหมายจุลภาค 109 8" xfId="1674"/>
    <cellStyle name="เครื่องหมายจุลภาค 109 9" xfId="1876"/>
    <cellStyle name="เครื่องหมายจุลภาค 111" xfId="203"/>
    <cellStyle name="เครื่องหมายจุลภาค 111 10" xfId="2180"/>
    <cellStyle name="เครื่องหมายจุลภาค 111 11" xfId="3152"/>
    <cellStyle name="เครื่องหมายจุลภาค 111 2" xfId="448"/>
    <cellStyle name="เครื่องหมายจุลภาค 111 3" xfId="637"/>
    <cellStyle name="เครื่องหมายจุลภาค 111 4" xfId="847"/>
    <cellStyle name="เครื่องหมายจุลภาค 111 5" xfId="1055"/>
    <cellStyle name="เครื่องหมายจุลภาค 111 6" xfId="1265"/>
    <cellStyle name="เครื่องหมายจุลภาค 111 7" xfId="1470"/>
    <cellStyle name="เครื่องหมายจุลภาค 111 8" xfId="1677"/>
    <cellStyle name="เครื่องหมายจุลภาค 111 9" xfId="1879"/>
    <cellStyle name="เครื่องหมายจุลภาค 113" xfId="206"/>
    <cellStyle name="เครื่องหมายจุลภาค 113 10" xfId="2183"/>
    <cellStyle name="เครื่องหมายจุลภาค 113 11" xfId="3153"/>
    <cellStyle name="เครื่องหมายจุลภาค 113 2" xfId="451"/>
    <cellStyle name="เครื่องหมายจุลภาค 113 3" xfId="640"/>
    <cellStyle name="เครื่องหมายจุลภาค 113 4" xfId="850"/>
    <cellStyle name="เครื่องหมายจุลภาค 113 5" xfId="1058"/>
    <cellStyle name="เครื่องหมายจุลภาค 113 6" xfId="1268"/>
    <cellStyle name="เครื่องหมายจุลภาค 113 7" xfId="1473"/>
    <cellStyle name="เครื่องหมายจุลภาค 113 8" xfId="1680"/>
    <cellStyle name="เครื่องหมายจุลภาค 113 9" xfId="1882"/>
    <cellStyle name="เครื่องหมายจุลภาค 115" xfId="209"/>
    <cellStyle name="เครื่องหมายจุลภาค 115 10" xfId="2186"/>
    <cellStyle name="เครื่องหมายจุลภาค 115 11" xfId="3154"/>
    <cellStyle name="เครื่องหมายจุลภาค 115 2" xfId="454"/>
    <cellStyle name="เครื่องหมายจุลภาค 115 3" xfId="643"/>
    <cellStyle name="เครื่องหมายจุลภาค 115 4" xfId="853"/>
    <cellStyle name="เครื่องหมายจุลภาค 115 5" xfId="1061"/>
    <cellStyle name="เครื่องหมายจุลภาค 115 6" xfId="1271"/>
    <cellStyle name="เครื่องหมายจุลภาค 115 7" xfId="1476"/>
    <cellStyle name="เครื่องหมายจุลภาค 115 8" xfId="1683"/>
    <cellStyle name="เครื่องหมายจุลภาค 115 9" xfId="1885"/>
    <cellStyle name="เครื่องหมายจุลภาค 117" xfId="212"/>
    <cellStyle name="เครื่องหมายจุลภาค 117 10" xfId="2189"/>
    <cellStyle name="เครื่องหมายจุลภาค 117 11" xfId="3155"/>
    <cellStyle name="เครื่องหมายจุลภาค 117 2" xfId="457"/>
    <cellStyle name="เครื่องหมายจุลภาค 117 3" xfId="646"/>
    <cellStyle name="เครื่องหมายจุลภาค 117 4" xfId="856"/>
    <cellStyle name="เครื่องหมายจุลภาค 117 5" xfId="1064"/>
    <cellStyle name="เครื่องหมายจุลภาค 117 6" xfId="1274"/>
    <cellStyle name="เครื่องหมายจุลภาค 117 7" xfId="1479"/>
    <cellStyle name="เครื่องหมายจุลภาค 117 8" xfId="1686"/>
    <cellStyle name="เครื่องหมายจุลภาค 117 9" xfId="1888"/>
    <cellStyle name="เครื่องหมายจุลภาค 121" xfId="215"/>
    <cellStyle name="เครื่องหมายจุลภาค 121 10" xfId="2192"/>
    <cellStyle name="เครื่องหมายจุลภาค 121 11" xfId="3156"/>
    <cellStyle name="เครื่องหมายจุลภาค 121 2" xfId="460"/>
    <cellStyle name="เครื่องหมายจุลภาค 121 3" xfId="649"/>
    <cellStyle name="เครื่องหมายจุลภาค 121 4" xfId="859"/>
    <cellStyle name="เครื่องหมายจุลภาค 121 5" xfId="1067"/>
    <cellStyle name="เครื่องหมายจุลภาค 121 6" xfId="1277"/>
    <cellStyle name="เครื่องหมายจุลภาค 121 7" xfId="1482"/>
    <cellStyle name="เครื่องหมายจุลภาค 121 8" xfId="1689"/>
    <cellStyle name="เครื่องหมายจุลภาค 121 9" xfId="1891"/>
    <cellStyle name="เครื่องหมายจุลภาค 123" xfId="218"/>
    <cellStyle name="เครื่องหมายจุลภาค 123 10" xfId="2195"/>
    <cellStyle name="เครื่องหมายจุลภาค 123 11" xfId="3157"/>
    <cellStyle name="เครื่องหมายจุลภาค 123 2" xfId="463"/>
    <cellStyle name="เครื่องหมายจุลภาค 123 3" xfId="652"/>
    <cellStyle name="เครื่องหมายจุลภาค 123 4" xfId="862"/>
    <cellStyle name="เครื่องหมายจุลภาค 123 5" xfId="1070"/>
    <cellStyle name="เครื่องหมายจุลภาค 123 6" xfId="1280"/>
    <cellStyle name="เครื่องหมายจุลภาค 123 7" xfId="1485"/>
    <cellStyle name="เครื่องหมายจุลภาค 123 8" xfId="1692"/>
    <cellStyle name="เครื่องหมายจุลภาค 123 9" xfId="1894"/>
    <cellStyle name="เครื่องหมายจุลภาค 125" xfId="221"/>
    <cellStyle name="เครื่องหมายจุลภาค 125 10" xfId="2198"/>
    <cellStyle name="เครื่องหมายจุลภาค 125 11" xfId="3158"/>
    <cellStyle name="เครื่องหมายจุลภาค 125 2" xfId="466"/>
    <cellStyle name="เครื่องหมายจุลภาค 125 3" xfId="655"/>
    <cellStyle name="เครื่องหมายจุลภาค 125 4" xfId="865"/>
    <cellStyle name="เครื่องหมายจุลภาค 125 5" xfId="1073"/>
    <cellStyle name="เครื่องหมายจุลภาค 125 6" xfId="1283"/>
    <cellStyle name="เครื่องหมายจุลภาค 125 7" xfId="1488"/>
    <cellStyle name="เครื่องหมายจุลภาค 125 8" xfId="1695"/>
    <cellStyle name="เครื่องหมายจุลภาค 125 9" xfId="1897"/>
    <cellStyle name="เครื่องหมายจุลภาค 127" xfId="224"/>
    <cellStyle name="เครื่องหมายจุลภาค 127 10" xfId="2201"/>
    <cellStyle name="เครื่องหมายจุลภาค 127 11" xfId="3159"/>
    <cellStyle name="เครื่องหมายจุลภาค 127 2" xfId="469"/>
    <cellStyle name="เครื่องหมายจุลภาค 127 3" xfId="658"/>
    <cellStyle name="เครื่องหมายจุลภาค 127 4" xfId="868"/>
    <cellStyle name="เครื่องหมายจุลภาค 127 5" xfId="1076"/>
    <cellStyle name="เครื่องหมายจุลภาค 127 6" xfId="1286"/>
    <cellStyle name="เครื่องหมายจุลภาค 127 7" xfId="1491"/>
    <cellStyle name="เครื่องหมายจุลภาค 127 8" xfId="1698"/>
    <cellStyle name="เครื่องหมายจุลภาค 127 9" xfId="1900"/>
    <cellStyle name="เครื่องหมายจุลภาค 129" xfId="227"/>
    <cellStyle name="เครื่องหมายจุลภาค 129 10" xfId="2204"/>
    <cellStyle name="เครื่องหมายจุลภาค 129 11" xfId="3160"/>
    <cellStyle name="เครื่องหมายจุลภาค 129 2" xfId="472"/>
    <cellStyle name="เครื่องหมายจุลภาค 129 3" xfId="661"/>
    <cellStyle name="เครื่องหมายจุลภาค 129 4" xfId="871"/>
    <cellStyle name="เครื่องหมายจุลภาค 129 5" xfId="1079"/>
    <cellStyle name="เครื่องหมายจุลภาค 129 6" xfId="1289"/>
    <cellStyle name="เครื่องหมายจุลภาค 129 7" xfId="1494"/>
    <cellStyle name="เครื่องหมายจุลภาค 129 8" xfId="1701"/>
    <cellStyle name="เครื่องหมายจุลภาค 129 9" xfId="1903"/>
    <cellStyle name="เครื่องหมายจุลภาค 2" xfId="254"/>
    <cellStyle name="เครื่องหมายจุลภาค 2 2" xfId="2278"/>
    <cellStyle name="เครื่องหมายจุลภาค 2 2 2" xfId="3264"/>
    <cellStyle name="เครื่องหมายจุลภาค 2 3" xfId="3161"/>
    <cellStyle name="เครื่องหมายจุลภาค 2 4" xfId="2665"/>
    <cellStyle name="เครื่องหมายจุลภาค 47" xfId="117"/>
    <cellStyle name="เครื่องหมายจุลภาค 47 10" xfId="2093"/>
    <cellStyle name="เครื่องหมายจุลภาค 47 11" xfId="3162"/>
    <cellStyle name="เครื่องหมายจุลภาค 47 2" xfId="361"/>
    <cellStyle name="เครื่องหมายจุลภาค 47 3" xfId="550"/>
    <cellStyle name="เครื่องหมายจุลภาค 47 4" xfId="760"/>
    <cellStyle name="เครื่องหมายจุลภาค 47 5" xfId="968"/>
    <cellStyle name="เครื่องหมายจุลภาค 47 6" xfId="1178"/>
    <cellStyle name="เครื่องหมายจุลภาค 47 7" xfId="1383"/>
    <cellStyle name="เครื่องหมายจุลภาค 47 8" xfId="1590"/>
    <cellStyle name="เครื่องหมายจุลภาค 47 9" xfId="1792"/>
    <cellStyle name="เครื่องหมายจุลภาค 49" xfId="120"/>
    <cellStyle name="เครื่องหมายจุลภาค 49 10" xfId="2096"/>
    <cellStyle name="เครื่องหมายจุลภาค 49 11" xfId="3163"/>
    <cellStyle name="เครื่องหมายจุลภาค 49 2" xfId="364"/>
    <cellStyle name="เครื่องหมายจุลภาค 49 3" xfId="553"/>
    <cellStyle name="เครื่องหมายจุลภาค 49 4" xfId="763"/>
    <cellStyle name="เครื่องหมายจุลภาค 49 5" xfId="971"/>
    <cellStyle name="เครื่องหมายจุลภาค 49 6" xfId="1181"/>
    <cellStyle name="เครื่องหมายจุลภาค 49 7" xfId="1386"/>
    <cellStyle name="เครื่องหมายจุลภาค 49 8" xfId="1593"/>
    <cellStyle name="เครื่องหมายจุลภาค 49 9" xfId="1795"/>
    <cellStyle name="เครื่องหมายจุลภาค 51" xfId="123"/>
    <cellStyle name="เครื่องหมายจุลภาค 51 10" xfId="2099"/>
    <cellStyle name="เครื่องหมายจุลภาค 51 11" xfId="3164"/>
    <cellStyle name="เครื่องหมายจุลภาค 51 2" xfId="367"/>
    <cellStyle name="เครื่องหมายจุลภาค 51 3" xfId="556"/>
    <cellStyle name="เครื่องหมายจุลภาค 51 4" xfId="766"/>
    <cellStyle name="เครื่องหมายจุลภาค 51 5" xfId="974"/>
    <cellStyle name="เครื่องหมายจุลภาค 51 6" xfId="1184"/>
    <cellStyle name="เครื่องหมายจุลภาค 51 7" xfId="1389"/>
    <cellStyle name="เครื่องหมายจุลภาค 51 8" xfId="1596"/>
    <cellStyle name="เครื่องหมายจุลภาค 51 9" xfId="1798"/>
    <cellStyle name="เครื่องหมายจุลภาค 53" xfId="126"/>
    <cellStyle name="เครื่องหมายจุลภาค 53 10" xfId="2102"/>
    <cellStyle name="เครื่องหมายจุลภาค 53 11" xfId="3165"/>
    <cellStyle name="เครื่องหมายจุลภาค 53 2" xfId="370"/>
    <cellStyle name="เครื่องหมายจุลภาค 53 3" xfId="559"/>
    <cellStyle name="เครื่องหมายจุลภาค 53 4" xfId="769"/>
    <cellStyle name="เครื่องหมายจุลภาค 53 5" xfId="977"/>
    <cellStyle name="เครื่องหมายจุลภาค 53 6" xfId="1187"/>
    <cellStyle name="เครื่องหมายจุลภาค 53 7" xfId="1392"/>
    <cellStyle name="เครื่องหมายจุลภาค 53 8" xfId="1599"/>
    <cellStyle name="เครื่องหมายจุลภาค 53 9" xfId="1801"/>
    <cellStyle name="เครื่องหมายจุลภาค 57" xfId="128"/>
    <cellStyle name="เครื่องหมายจุลภาค 57 10" xfId="2105"/>
    <cellStyle name="เครื่องหมายจุลภาค 57 11" xfId="3166"/>
    <cellStyle name="เครื่องหมายจุลภาค 57 2" xfId="373"/>
    <cellStyle name="เครื่องหมายจุลภาค 57 3" xfId="562"/>
    <cellStyle name="เครื่องหมายจุลภาค 57 4" xfId="772"/>
    <cellStyle name="เครื่องหมายจุลภาค 57 5" xfId="980"/>
    <cellStyle name="เครื่องหมายจุลภาค 57 6" xfId="1190"/>
    <cellStyle name="เครื่องหมายจุลภาค 57 7" xfId="1395"/>
    <cellStyle name="เครื่องหมายจุลภาค 57 8" xfId="1602"/>
    <cellStyle name="เครื่องหมายจุลภาค 57 9" xfId="1804"/>
    <cellStyle name="เครื่องหมายจุลภาค 60" xfId="131"/>
    <cellStyle name="เครื่องหมายจุลภาค 60 10" xfId="2108"/>
    <cellStyle name="เครื่องหมายจุลภาค 60 11" xfId="3167"/>
    <cellStyle name="เครื่องหมายจุลภาค 60 2" xfId="376"/>
    <cellStyle name="เครื่องหมายจุลภาค 60 3" xfId="565"/>
    <cellStyle name="เครื่องหมายจุลภาค 60 4" xfId="775"/>
    <cellStyle name="เครื่องหมายจุลภาค 60 5" xfId="983"/>
    <cellStyle name="เครื่องหมายจุลภาค 60 6" xfId="1193"/>
    <cellStyle name="เครื่องหมายจุลภาค 60 7" xfId="1398"/>
    <cellStyle name="เครื่องหมายจุลภาค 60 8" xfId="1605"/>
    <cellStyle name="เครื่องหมายจุลภาค 60 9" xfId="1807"/>
    <cellStyle name="เครื่องหมายจุลภาค 62" xfId="134"/>
    <cellStyle name="เครื่องหมายจุลภาค 62 10" xfId="2111"/>
    <cellStyle name="เครื่องหมายจุลภาค 62 11" xfId="3168"/>
    <cellStyle name="เครื่องหมายจุลภาค 62 2" xfId="379"/>
    <cellStyle name="เครื่องหมายจุลภาค 62 3" xfId="568"/>
    <cellStyle name="เครื่องหมายจุลภาค 62 4" xfId="778"/>
    <cellStyle name="เครื่องหมายจุลภาค 62 5" xfId="986"/>
    <cellStyle name="เครื่องหมายจุลภาค 62 6" xfId="1196"/>
    <cellStyle name="เครื่องหมายจุลภาค 62 7" xfId="1401"/>
    <cellStyle name="เครื่องหมายจุลภาค 62 8" xfId="1608"/>
    <cellStyle name="เครื่องหมายจุลภาค 62 9" xfId="1810"/>
    <cellStyle name="เครื่องหมายจุลภาค 65" xfId="137"/>
    <cellStyle name="เครื่องหมายจุลภาค 65 10" xfId="2114"/>
    <cellStyle name="เครื่องหมายจุลภาค 65 11" xfId="3169"/>
    <cellStyle name="เครื่องหมายจุลภาค 65 2" xfId="382"/>
    <cellStyle name="เครื่องหมายจุลภาค 65 3" xfId="571"/>
    <cellStyle name="เครื่องหมายจุลภาค 65 4" xfId="781"/>
    <cellStyle name="เครื่องหมายจุลภาค 65 5" xfId="989"/>
    <cellStyle name="เครื่องหมายจุลภาค 65 6" xfId="1199"/>
    <cellStyle name="เครื่องหมายจุลภาค 65 7" xfId="1404"/>
    <cellStyle name="เครื่องหมายจุลภาค 65 8" xfId="1611"/>
    <cellStyle name="เครื่องหมายจุลภาค 65 9" xfId="1813"/>
    <cellStyle name="เครื่องหมายจุลภาค 66" xfId="140"/>
    <cellStyle name="เครื่องหมายจุลภาค 66 10" xfId="2117"/>
    <cellStyle name="เครื่องหมายจุลภาค 66 11" xfId="3170"/>
    <cellStyle name="เครื่องหมายจุลภาค 66 2" xfId="385"/>
    <cellStyle name="เครื่องหมายจุลภาค 66 3" xfId="574"/>
    <cellStyle name="เครื่องหมายจุลภาค 66 4" xfId="784"/>
    <cellStyle name="เครื่องหมายจุลภาค 66 5" xfId="992"/>
    <cellStyle name="เครื่องหมายจุลภาค 66 6" xfId="1202"/>
    <cellStyle name="เครื่องหมายจุลภาค 66 7" xfId="1407"/>
    <cellStyle name="เครื่องหมายจุลภาค 66 8" xfId="1614"/>
    <cellStyle name="เครื่องหมายจุลภาค 66 9" xfId="1816"/>
    <cellStyle name="เครื่องหมายจุลภาค 68" xfId="143"/>
    <cellStyle name="เครื่องหมายจุลภาค 68 10" xfId="2120"/>
    <cellStyle name="เครื่องหมายจุลภาค 68 11" xfId="3171"/>
    <cellStyle name="เครื่องหมายจุลภาค 68 2" xfId="388"/>
    <cellStyle name="เครื่องหมายจุลภาค 68 3" xfId="577"/>
    <cellStyle name="เครื่องหมายจุลภาค 68 4" xfId="787"/>
    <cellStyle name="เครื่องหมายจุลภาค 68 5" xfId="995"/>
    <cellStyle name="เครื่องหมายจุลภาค 68 6" xfId="1205"/>
    <cellStyle name="เครื่องหมายจุลภาค 68 7" xfId="1410"/>
    <cellStyle name="เครื่องหมายจุลภาค 68 8" xfId="1617"/>
    <cellStyle name="เครื่องหมายจุลภาค 68 9" xfId="1819"/>
    <cellStyle name="เครื่องหมายจุลภาค 70" xfId="146"/>
    <cellStyle name="เครื่องหมายจุลภาค 70 10" xfId="2123"/>
    <cellStyle name="เครื่องหมายจุลภาค 70 11" xfId="3172"/>
    <cellStyle name="เครื่องหมายจุลภาค 70 2" xfId="391"/>
    <cellStyle name="เครื่องหมายจุลภาค 70 3" xfId="580"/>
    <cellStyle name="เครื่องหมายจุลภาค 70 4" xfId="790"/>
    <cellStyle name="เครื่องหมายจุลภาค 70 5" xfId="998"/>
    <cellStyle name="เครื่องหมายจุลภาค 70 6" xfId="1208"/>
    <cellStyle name="เครื่องหมายจุลภาค 70 7" xfId="1413"/>
    <cellStyle name="เครื่องหมายจุลภาค 70 8" xfId="1620"/>
    <cellStyle name="เครื่องหมายจุลภาค 70 9" xfId="1822"/>
    <cellStyle name="เครื่องหมายจุลภาค 72" xfId="149"/>
    <cellStyle name="เครื่องหมายจุลภาค 72 10" xfId="2126"/>
    <cellStyle name="เครื่องหมายจุลภาค 72 11" xfId="3173"/>
    <cellStyle name="เครื่องหมายจุลภาค 72 2" xfId="394"/>
    <cellStyle name="เครื่องหมายจุลภาค 72 3" xfId="583"/>
    <cellStyle name="เครื่องหมายจุลภาค 72 4" xfId="793"/>
    <cellStyle name="เครื่องหมายจุลภาค 72 5" xfId="1001"/>
    <cellStyle name="เครื่องหมายจุลภาค 72 6" xfId="1211"/>
    <cellStyle name="เครื่องหมายจุลภาค 72 7" xfId="1416"/>
    <cellStyle name="เครื่องหมายจุลภาค 72 8" xfId="1623"/>
    <cellStyle name="เครื่องหมายจุลภาค 72 9" xfId="1825"/>
    <cellStyle name="เครื่องหมายจุลภาค 74" xfId="152"/>
    <cellStyle name="เครื่องหมายจุลภาค 74 10" xfId="2129"/>
    <cellStyle name="เครื่องหมายจุลภาค 74 11" xfId="3174"/>
    <cellStyle name="เครื่องหมายจุลภาค 74 2" xfId="397"/>
    <cellStyle name="เครื่องหมายจุลภาค 74 3" xfId="586"/>
    <cellStyle name="เครื่องหมายจุลภาค 74 4" xfId="796"/>
    <cellStyle name="เครื่องหมายจุลภาค 74 5" xfId="1004"/>
    <cellStyle name="เครื่องหมายจุลภาค 74 6" xfId="1214"/>
    <cellStyle name="เครื่องหมายจุลภาค 74 7" xfId="1419"/>
    <cellStyle name="เครื่องหมายจุลภาค 74 8" xfId="1626"/>
    <cellStyle name="เครื่องหมายจุลภาค 74 9" xfId="1828"/>
    <cellStyle name="เครื่องหมายจุลภาค 76" xfId="155"/>
    <cellStyle name="เครื่องหมายจุลภาค 76 10" xfId="2132"/>
    <cellStyle name="เครื่องหมายจุลภาค 76 11" xfId="3175"/>
    <cellStyle name="เครื่องหมายจุลภาค 76 2" xfId="400"/>
    <cellStyle name="เครื่องหมายจุลภาค 76 3" xfId="589"/>
    <cellStyle name="เครื่องหมายจุลภาค 76 4" xfId="799"/>
    <cellStyle name="เครื่องหมายจุลภาค 76 5" xfId="1007"/>
    <cellStyle name="เครื่องหมายจุลภาค 76 6" xfId="1217"/>
    <cellStyle name="เครื่องหมายจุลภาค 76 7" xfId="1422"/>
    <cellStyle name="เครื่องหมายจุลภาค 76 8" xfId="1629"/>
    <cellStyle name="เครื่องหมายจุลภาค 76 9" xfId="1831"/>
    <cellStyle name="เครื่องหมายจุลภาค 78" xfId="158"/>
    <cellStyle name="เครื่องหมายจุลภาค 78 10" xfId="2135"/>
    <cellStyle name="เครื่องหมายจุลภาค 78 11" xfId="3176"/>
    <cellStyle name="เครื่องหมายจุลภาค 78 2" xfId="403"/>
    <cellStyle name="เครื่องหมายจุลภาค 78 3" xfId="592"/>
    <cellStyle name="เครื่องหมายจุลภาค 78 4" xfId="802"/>
    <cellStyle name="เครื่องหมายจุลภาค 78 5" xfId="1010"/>
    <cellStyle name="เครื่องหมายจุลภาค 78 6" xfId="1220"/>
    <cellStyle name="เครื่องหมายจุลภาค 78 7" xfId="1425"/>
    <cellStyle name="เครื่องหมายจุลภาค 78 8" xfId="1632"/>
    <cellStyle name="เครื่องหมายจุลภาค 78 9" xfId="1834"/>
    <cellStyle name="เครื่องหมายจุลภาค 80" xfId="161"/>
    <cellStyle name="เครื่องหมายจุลภาค 80 10" xfId="2138"/>
    <cellStyle name="เครื่องหมายจุลภาค 80 11" xfId="3177"/>
    <cellStyle name="เครื่องหมายจุลภาค 80 2" xfId="406"/>
    <cellStyle name="เครื่องหมายจุลภาค 80 3" xfId="595"/>
    <cellStyle name="เครื่องหมายจุลภาค 80 4" xfId="805"/>
    <cellStyle name="เครื่องหมายจุลภาค 80 5" xfId="1013"/>
    <cellStyle name="เครื่องหมายจุลภาค 80 6" xfId="1223"/>
    <cellStyle name="เครื่องหมายจุลภาค 80 7" xfId="1428"/>
    <cellStyle name="เครื่องหมายจุลภาค 80 8" xfId="1635"/>
    <cellStyle name="เครื่องหมายจุลภาค 80 9" xfId="1837"/>
    <cellStyle name="เครื่องหมายจุลภาค 82" xfId="164"/>
    <cellStyle name="เครื่องหมายจุลภาค 82 10" xfId="2141"/>
    <cellStyle name="เครื่องหมายจุลภาค 82 11" xfId="3178"/>
    <cellStyle name="เครื่องหมายจุลภาค 82 2" xfId="409"/>
    <cellStyle name="เครื่องหมายจุลภาค 82 3" xfId="598"/>
    <cellStyle name="เครื่องหมายจุลภาค 82 4" xfId="808"/>
    <cellStyle name="เครื่องหมายจุลภาค 82 5" xfId="1016"/>
    <cellStyle name="เครื่องหมายจุลภาค 82 6" xfId="1226"/>
    <cellStyle name="เครื่องหมายจุลภาค 82 7" xfId="1431"/>
    <cellStyle name="เครื่องหมายจุลภาค 82 8" xfId="1638"/>
    <cellStyle name="เครื่องหมายจุลภาค 82 9" xfId="1840"/>
    <cellStyle name="เครื่องหมายจุลภาค 84" xfId="167"/>
    <cellStyle name="เครื่องหมายจุลภาค 84 10" xfId="2144"/>
    <cellStyle name="เครื่องหมายจุลภาค 84 11" xfId="3179"/>
    <cellStyle name="เครื่องหมายจุลภาค 84 2" xfId="412"/>
    <cellStyle name="เครื่องหมายจุลภาค 84 3" xfId="601"/>
    <cellStyle name="เครื่องหมายจุลภาค 84 4" xfId="811"/>
    <cellStyle name="เครื่องหมายจุลภาค 84 5" xfId="1019"/>
    <cellStyle name="เครื่องหมายจุลภาค 84 6" xfId="1229"/>
    <cellStyle name="เครื่องหมายจุลภาค 84 7" xfId="1434"/>
    <cellStyle name="เครื่องหมายจุลภาค 84 8" xfId="1641"/>
    <cellStyle name="เครื่องหมายจุลภาค 84 9" xfId="1843"/>
    <cellStyle name="เครื่องหมายจุลภาค 86" xfId="170"/>
    <cellStyle name="เครื่องหมายจุลภาค 86 10" xfId="2147"/>
    <cellStyle name="เครื่องหมายจุลภาค 86 11" xfId="3180"/>
    <cellStyle name="เครื่องหมายจุลภาค 86 2" xfId="415"/>
    <cellStyle name="เครื่องหมายจุลภาค 86 3" xfId="604"/>
    <cellStyle name="เครื่องหมายจุลภาค 86 4" xfId="814"/>
    <cellStyle name="เครื่องหมายจุลภาค 86 5" xfId="1022"/>
    <cellStyle name="เครื่องหมายจุลภาค 86 6" xfId="1232"/>
    <cellStyle name="เครื่องหมายจุลภาค 86 7" xfId="1437"/>
    <cellStyle name="เครื่องหมายจุลภาค 86 8" xfId="1644"/>
    <cellStyle name="เครื่องหมายจุลภาค 86 9" xfId="1846"/>
    <cellStyle name="เครื่องหมายจุลภาค 88" xfId="173"/>
    <cellStyle name="เครื่องหมายจุลภาค 88 10" xfId="2150"/>
    <cellStyle name="เครื่องหมายจุลภาค 88 11" xfId="3181"/>
    <cellStyle name="เครื่องหมายจุลภาค 88 2" xfId="418"/>
    <cellStyle name="เครื่องหมายจุลภาค 88 3" xfId="607"/>
    <cellStyle name="เครื่องหมายจุลภาค 88 4" xfId="817"/>
    <cellStyle name="เครื่องหมายจุลภาค 88 5" xfId="1025"/>
    <cellStyle name="เครื่องหมายจุลภาค 88 6" xfId="1235"/>
    <cellStyle name="เครื่องหมายจุลภาค 88 7" xfId="1440"/>
    <cellStyle name="เครื่องหมายจุลภาค 88 8" xfId="1647"/>
    <cellStyle name="เครื่องหมายจุลภาค 88 9" xfId="1849"/>
    <cellStyle name="เครื่องหมายจุลภาค 90" xfId="176"/>
    <cellStyle name="เครื่องหมายจุลภาค 90 10" xfId="2153"/>
    <cellStyle name="เครื่องหมายจุลภาค 90 11" xfId="3182"/>
    <cellStyle name="เครื่องหมายจุลภาค 90 2" xfId="421"/>
    <cellStyle name="เครื่องหมายจุลภาค 90 3" xfId="610"/>
    <cellStyle name="เครื่องหมายจุลภาค 90 4" xfId="820"/>
    <cellStyle name="เครื่องหมายจุลภาค 90 5" xfId="1028"/>
    <cellStyle name="เครื่องหมายจุลภาค 90 6" xfId="1238"/>
    <cellStyle name="เครื่องหมายจุลภาค 90 7" xfId="1443"/>
    <cellStyle name="เครื่องหมายจุลภาค 90 8" xfId="1650"/>
    <cellStyle name="เครื่องหมายจุลภาค 90 9" xfId="1852"/>
    <cellStyle name="เครื่องหมายจุลภาค 92" xfId="179"/>
    <cellStyle name="เครื่องหมายจุลภาค 92 10" xfId="2156"/>
    <cellStyle name="เครื่องหมายจุลภาค 92 11" xfId="3183"/>
    <cellStyle name="เครื่องหมายจุลภาค 92 2" xfId="424"/>
    <cellStyle name="เครื่องหมายจุลภาค 92 3" xfId="613"/>
    <cellStyle name="เครื่องหมายจุลภาค 92 4" xfId="823"/>
    <cellStyle name="เครื่องหมายจุลภาค 92 5" xfId="1031"/>
    <cellStyle name="เครื่องหมายจุลภาค 92 6" xfId="1241"/>
    <cellStyle name="เครื่องหมายจุลภาค 92 7" xfId="1446"/>
    <cellStyle name="เครื่องหมายจุลภาค 92 8" xfId="1653"/>
    <cellStyle name="เครื่องหมายจุลภาค 92 9" xfId="1855"/>
    <cellStyle name="เครื่องหมายจุลภาค 94" xfId="182"/>
    <cellStyle name="เครื่องหมายจุลภาค 94 10" xfId="2159"/>
    <cellStyle name="เครื่องหมายจุลภาค 94 11" xfId="3184"/>
    <cellStyle name="เครื่องหมายจุลภาค 94 2" xfId="427"/>
    <cellStyle name="เครื่องหมายจุลภาค 94 3" xfId="616"/>
    <cellStyle name="เครื่องหมายจุลภาค 94 4" xfId="826"/>
    <cellStyle name="เครื่องหมายจุลภาค 94 5" xfId="1034"/>
    <cellStyle name="เครื่องหมายจุลภาค 94 6" xfId="1244"/>
    <cellStyle name="เครื่องหมายจุลภาค 94 7" xfId="1449"/>
    <cellStyle name="เครื่องหมายจุลภาค 94 8" xfId="1656"/>
    <cellStyle name="เครื่องหมายจุลภาค 94 9" xfId="1858"/>
    <cellStyle name="เครื่องหมายจุลภาค 96" xfId="185"/>
    <cellStyle name="เครื่องหมายจุลภาค 96 10" xfId="2162"/>
    <cellStyle name="เครื่องหมายจุลภาค 96 11" xfId="3185"/>
    <cellStyle name="เครื่องหมายจุลภาค 96 2" xfId="430"/>
    <cellStyle name="เครื่องหมายจุลภาค 96 3" xfId="619"/>
    <cellStyle name="เครื่องหมายจุลภาค 96 4" xfId="829"/>
    <cellStyle name="เครื่องหมายจุลภาค 96 5" xfId="1037"/>
    <cellStyle name="เครื่องหมายจุลภาค 96 6" xfId="1247"/>
    <cellStyle name="เครื่องหมายจุลภาค 96 7" xfId="1452"/>
    <cellStyle name="เครื่องหมายจุลภาค 96 8" xfId="1659"/>
    <cellStyle name="เครื่องหมายจุลภาค 96 9" xfId="1861"/>
    <cellStyle name="เครื่องหมายจุลภาค 99" xfId="188"/>
    <cellStyle name="เครื่องหมายจุลภาค 99 10" xfId="2165"/>
    <cellStyle name="เครื่องหมายจุลภาค 99 11" xfId="3186"/>
    <cellStyle name="เครื่องหมายจุลภาค 99 2" xfId="433"/>
    <cellStyle name="เครื่องหมายจุลภาค 99 3" xfId="622"/>
    <cellStyle name="เครื่องหมายจุลภาค 99 4" xfId="832"/>
    <cellStyle name="เครื่องหมายจุลภาค 99 5" xfId="1040"/>
    <cellStyle name="เครื่องหมายจุลภาค 99 6" xfId="1250"/>
    <cellStyle name="เครื่องหมายจุลภาค 99 7" xfId="1455"/>
    <cellStyle name="เครื่องหมายจุลภาค 99 8" xfId="1662"/>
    <cellStyle name="เครื่องหมายจุลภาค 99 9" xfId="1864"/>
    <cellStyle name="ปกติ 100" xfId="187"/>
    <cellStyle name="ปกติ 100 10" xfId="2164"/>
    <cellStyle name="ปกติ 100 11" xfId="3187"/>
    <cellStyle name="ปกติ 100 2" xfId="432"/>
    <cellStyle name="ปกติ 100 3" xfId="621"/>
    <cellStyle name="ปกติ 100 4" xfId="831"/>
    <cellStyle name="ปกติ 100 5" xfId="1039"/>
    <cellStyle name="ปกติ 100 6" xfId="1249"/>
    <cellStyle name="ปกติ 100 7" xfId="1454"/>
    <cellStyle name="ปกติ 100 8" xfId="1661"/>
    <cellStyle name="ปกติ 100 9" xfId="1863"/>
    <cellStyle name="ปกติ 101" xfId="189"/>
    <cellStyle name="ปกติ 101 10" xfId="2166"/>
    <cellStyle name="ปกติ 101 11" xfId="3188"/>
    <cellStyle name="ปกติ 101 2" xfId="434"/>
    <cellStyle name="ปกติ 101 3" xfId="623"/>
    <cellStyle name="ปกติ 101 4" xfId="833"/>
    <cellStyle name="ปกติ 101 5" xfId="1041"/>
    <cellStyle name="ปกติ 101 6" xfId="1251"/>
    <cellStyle name="ปกติ 101 7" xfId="1456"/>
    <cellStyle name="ปกติ 101 8" xfId="1663"/>
    <cellStyle name="ปกติ 101 9" xfId="1865"/>
    <cellStyle name="ปกติ 102" xfId="190"/>
    <cellStyle name="ปกติ 102 10" xfId="2167"/>
    <cellStyle name="ปกติ 102 11" xfId="3189"/>
    <cellStyle name="ปกติ 102 2" xfId="435"/>
    <cellStyle name="ปกติ 102 3" xfId="624"/>
    <cellStyle name="ปกติ 102 4" xfId="834"/>
    <cellStyle name="ปกติ 102 5" xfId="1042"/>
    <cellStyle name="ปกติ 102 6" xfId="1252"/>
    <cellStyle name="ปกติ 102 7" xfId="1457"/>
    <cellStyle name="ปกติ 102 8" xfId="1664"/>
    <cellStyle name="ปกติ 102 9" xfId="1866"/>
    <cellStyle name="ปกติ 103" xfId="192"/>
    <cellStyle name="ปกติ 103 10" xfId="2169"/>
    <cellStyle name="ปกติ 103 11" xfId="3190"/>
    <cellStyle name="ปกติ 103 2" xfId="437"/>
    <cellStyle name="ปกติ 103 3" xfId="626"/>
    <cellStyle name="ปกติ 103 4" xfId="836"/>
    <cellStyle name="ปกติ 103 5" xfId="1044"/>
    <cellStyle name="ปกติ 103 6" xfId="1254"/>
    <cellStyle name="ปกติ 103 7" xfId="1459"/>
    <cellStyle name="ปกติ 103 8" xfId="1666"/>
    <cellStyle name="ปกติ 103 9" xfId="1868"/>
    <cellStyle name="ปกติ 104" xfId="193"/>
    <cellStyle name="ปกติ 104 10" xfId="2170"/>
    <cellStyle name="ปกติ 104 11" xfId="3191"/>
    <cellStyle name="ปกติ 104 2" xfId="438"/>
    <cellStyle name="ปกติ 104 3" xfId="627"/>
    <cellStyle name="ปกติ 104 4" xfId="837"/>
    <cellStyle name="ปกติ 104 5" xfId="1045"/>
    <cellStyle name="ปกติ 104 6" xfId="1255"/>
    <cellStyle name="ปกติ 104 7" xfId="1460"/>
    <cellStyle name="ปกติ 104 8" xfId="1667"/>
    <cellStyle name="ปกติ 104 9" xfId="1869"/>
    <cellStyle name="ปกติ 105" xfId="195"/>
    <cellStyle name="ปกติ 105 10" xfId="2172"/>
    <cellStyle name="ปกติ 105 11" xfId="3192"/>
    <cellStyle name="ปกติ 105 2" xfId="440"/>
    <cellStyle name="ปกติ 105 3" xfId="629"/>
    <cellStyle name="ปกติ 105 4" xfId="839"/>
    <cellStyle name="ปกติ 105 5" xfId="1047"/>
    <cellStyle name="ปกติ 105 6" xfId="1257"/>
    <cellStyle name="ปกติ 105 7" xfId="1462"/>
    <cellStyle name="ปกติ 105 8" xfId="1669"/>
    <cellStyle name="ปกติ 105 9" xfId="1871"/>
    <cellStyle name="ปกติ 108" xfId="196"/>
    <cellStyle name="ปกติ 108 10" xfId="2173"/>
    <cellStyle name="ปกติ 108 11" xfId="3193"/>
    <cellStyle name="ปกติ 108 2" xfId="441"/>
    <cellStyle name="ปกติ 108 3" xfId="630"/>
    <cellStyle name="ปกติ 108 4" xfId="840"/>
    <cellStyle name="ปกติ 108 5" xfId="1048"/>
    <cellStyle name="ปกติ 108 6" xfId="1258"/>
    <cellStyle name="ปกติ 108 7" xfId="1463"/>
    <cellStyle name="ปกติ 108 8" xfId="1670"/>
    <cellStyle name="ปกติ 108 9" xfId="1872"/>
    <cellStyle name="ปกติ 109" xfId="198"/>
    <cellStyle name="ปกติ 109 10" xfId="2175"/>
    <cellStyle name="ปกติ 109 11" xfId="3194"/>
    <cellStyle name="ปกติ 109 2" xfId="443"/>
    <cellStyle name="ปกติ 109 3" xfId="632"/>
    <cellStyle name="ปกติ 109 4" xfId="842"/>
    <cellStyle name="ปกติ 109 5" xfId="1050"/>
    <cellStyle name="ปกติ 109 6" xfId="1260"/>
    <cellStyle name="ปกติ 109 7" xfId="1465"/>
    <cellStyle name="ปกติ 109 8" xfId="1672"/>
    <cellStyle name="ปกติ 109 9" xfId="1874"/>
    <cellStyle name="ปกติ 110" xfId="199"/>
    <cellStyle name="ปกติ 110 10" xfId="2176"/>
    <cellStyle name="ปกติ 110 11" xfId="3195"/>
    <cellStyle name="ปกติ 110 2" xfId="444"/>
    <cellStyle name="ปกติ 110 3" xfId="633"/>
    <cellStyle name="ปกติ 110 4" xfId="843"/>
    <cellStyle name="ปกติ 110 5" xfId="1051"/>
    <cellStyle name="ปกติ 110 6" xfId="1261"/>
    <cellStyle name="ปกติ 110 7" xfId="1466"/>
    <cellStyle name="ปกติ 110 8" xfId="1673"/>
    <cellStyle name="ปกติ 110 9" xfId="1875"/>
    <cellStyle name="ปกติ 111" xfId="201"/>
    <cellStyle name="ปกติ 111 10" xfId="2178"/>
    <cellStyle name="ปกติ 111 11" xfId="3196"/>
    <cellStyle name="ปกติ 111 2" xfId="446"/>
    <cellStyle name="ปกติ 111 3" xfId="635"/>
    <cellStyle name="ปกติ 111 4" xfId="845"/>
    <cellStyle name="ปกติ 111 5" xfId="1053"/>
    <cellStyle name="ปกติ 111 6" xfId="1263"/>
    <cellStyle name="ปกติ 111 7" xfId="1468"/>
    <cellStyle name="ปกติ 111 8" xfId="1675"/>
    <cellStyle name="ปกติ 111 9" xfId="1877"/>
    <cellStyle name="ปกติ 112" xfId="202"/>
    <cellStyle name="ปกติ 112 10" xfId="2179"/>
    <cellStyle name="ปกติ 112 11" xfId="3197"/>
    <cellStyle name="ปกติ 112 2" xfId="447"/>
    <cellStyle name="ปกติ 112 3" xfId="636"/>
    <cellStyle name="ปกติ 112 4" xfId="846"/>
    <cellStyle name="ปกติ 112 5" xfId="1054"/>
    <cellStyle name="ปกติ 112 6" xfId="1264"/>
    <cellStyle name="ปกติ 112 7" xfId="1469"/>
    <cellStyle name="ปกติ 112 8" xfId="1676"/>
    <cellStyle name="ปกติ 112 9" xfId="1878"/>
    <cellStyle name="ปกติ 113" xfId="204"/>
    <cellStyle name="ปกติ 113 10" xfId="2181"/>
    <cellStyle name="ปกติ 113 11" xfId="3198"/>
    <cellStyle name="ปกติ 113 2" xfId="449"/>
    <cellStyle name="ปกติ 113 3" xfId="638"/>
    <cellStyle name="ปกติ 113 4" xfId="848"/>
    <cellStyle name="ปกติ 113 5" xfId="1056"/>
    <cellStyle name="ปกติ 113 6" xfId="1266"/>
    <cellStyle name="ปกติ 113 7" xfId="1471"/>
    <cellStyle name="ปกติ 113 8" xfId="1678"/>
    <cellStyle name="ปกติ 113 9" xfId="1880"/>
    <cellStyle name="ปกติ 114" xfId="205"/>
    <cellStyle name="ปกติ 114 10" xfId="2182"/>
    <cellStyle name="ปกติ 114 11" xfId="3199"/>
    <cellStyle name="ปกติ 114 2" xfId="450"/>
    <cellStyle name="ปกติ 114 3" xfId="639"/>
    <cellStyle name="ปกติ 114 4" xfId="849"/>
    <cellStyle name="ปกติ 114 5" xfId="1057"/>
    <cellStyle name="ปกติ 114 6" xfId="1267"/>
    <cellStyle name="ปกติ 114 7" xfId="1472"/>
    <cellStyle name="ปกติ 114 8" xfId="1679"/>
    <cellStyle name="ปกติ 114 9" xfId="1881"/>
    <cellStyle name="ปกติ 115" xfId="207"/>
    <cellStyle name="ปกติ 115 10" xfId="2184"/>
    <cellStyle name="ปกติ 115 11" xfId="3200"/>
    <cellStyle name="ปกติ 115 2" xfId="452"/>
    <cellStyle name="ปกติ 115 3" xfId="641"/>
    <cellStyle name="ปกติ 115 4" xfId="851"/>
    <cellStyle name="ปกติ 115 5" xfId="1059"/>
    <cellStyle name="ปกติ 115 6" xfId="1269"/>
    <cellStyle name="ปกติ 115 7" xfId="1474"/>
    <cellStyle name="ปกติ 115 8" xfId="1681"/>
    <cellStyle name="ปกติ 115 9" xfId="1883"/>
    <cellStyle name="ปกติ 116" xfId="208"/>
    <cellStyle name="ปกติ 116 10" xfId="2185"/>
    <cellStyle name="ปกติ 116 11" xfId="3201"/>
    <cellStyle name="ปกติ 116 2" xfId="453"/>
    <cellStyle name="ปกติ 116 3" xfId="642"/>
    <cellStyle name="ปกติ 116 4" xfId="852"/>
    <cellStyle name="ปกติ 116 5" xfId="1060"/>
    <cellStyle name="ปกติ 116 6" xfId="1270"/>
    <cellStyle name="ปกติ 116 7" xfId="1475"/>
    <cellStyle name="ปกติ 116 8" xfId="1682"/>
    <cellStyle name="ปกติ 116 9" xfId="1884"/>
    <cellStyle name="ปกติ 117" xfId="210"/>
    <cellStyle name="ปกติ 117 10" xfId="2187"/>
    <cellStyle name="ปกติ 117 11" xfId="3202"/>
    <cellStyle name="ปกติ 117 2" xfId="455"/>
    <cellStyle name="ปกติ 117 3" xfId="644"/>
    <cellStyle name="ปกติ 117 4" xfId="854"/>
    <cellStyle name="ปกติ 117 5" xfId="1062"/>
    <cellStyle name="ปกติ 117 6" xfId="1272"/>
    <cellStyle name="ปกติ 117 7" xfId="1477"/>
    <cellStyle name="ปกติ 117 8" xfId="1684"/>
    <cellStyle name="ปกติ 117 9" xfId="1886"/>
    <cellStyle name="ปกติ 118" xfId="211"/>
    <cellStyle name="ปกติ 118 10" xfId="2188"/>
    <cellStyle name="ปกติ 118 11" xfId="3203"/>
    <cellStyle name="ปกติ 118 2" xfId="456"/>
    <cellStyle name="ปกติ 118 3" xfId="645"/>
    <cellStyle name="ปกติ 118 4" xfId="855"/>
    <cellStyle name="ปกติ 118 5" xfId="1063"/>
    <cellStyle name="ปกติ 118 6" xfId="1273"/>
    <cellStyle name="ปกติ 118 7" xfId="1478"/>
    <cellStyle name="ปกติ 118 8" xfId="1685"/>
    <cellStyle name="ปกติ 118 9" xfId="1887"/>
    <cellStyle name="ปกติ 119" xfId="213"/>
    <cellStyle name="ปกติ 119 10" xfId="2190"/>
    <cellStyle name="ปกติ 119 11" xfId="3204"/>
    <cellStyle name="ปกติ 119 2" xfId="458"/>
    <cellStyle name="ปกติ 119 3" xfId="647"/>
    <cellStyle name="ปกติ 119 4" xfId="857"/>
    <cellStyle name="ปกติ 119 5" xfId="1065"/>
    <cellStyle name="ปกติ 119 6" xfId="1275"/>
    <cellStyle name="ปกติ 119 7" xfId="1480"/>
    <cellStyle name="ปกติ 119 8" xfId="1687"/>
    <cellStyle name="ปกติ 119 9" xfId="1889"/>
    <cellStyle name="ปกติ 122" xfId="214"/>
    <cellStyle name="ปกติ 122 10" xfId="2191"/>
    <cellStyle name="ปกติ 122 11" xfId="3205"/>
    <cellStyle name="ปกติ 122 2" xfId="459"/>
    <cellStyle name="ปกติ 122 3" xfId="648"/>
    <cellStyle name="ปกติ 122 4" xfId="858"/>
    <cellStyle name="ปกติ 122 5" xfId="1066"/>
    <cellStyle name="ปกติ 122 6" xfId="1276"/>
    <cellStyle name="ปกติ 122 7" xfId="1481"/>
    <cellStyle name="ปกติ 122 8" xfId="1688"/>
    <cellStyle name="ปกติ 122 9" xfId="1890"/>
    <cellStyle name="ปกติ 123" xfId="216"/>
    <cellStyle name="ปกติ 123 10" xfId="2193"/>
    <cellStyle name="ปกติ 123 11" xfId="3206"/>
    <cellStyle name="ปกติ 123 2" xfId="461"/>
    <cellStyle name="ปกติ 123 3" xfId="650"/>
    <cellStyle name="ปกติ 123 4" xfId="860"/>
    <cellStyle name="ปกติ 123 5" xfId="1068"/>
    <cellStyle name="ปกติ 123 6" xfId="1278"/>
    <cellStyle name="ปกติ 123 7" xfId="1483"/>
    <cellStyle name="ปกติ 123 8" xfId="1690"/>
    <cellStyle name="ปกติ 123 9" xfId="1892"/>
    <cellStyle name="ปกติ 124" xfId="217"/>
    <cellStyle name="ปกติ 124 10" xfId="2194"/>
    <cellStyle name="ปกติ 124 11" xfId="3207"/>
    <cellStyle name="ปกติ 124 2" xfId="462"/>
    <cellStyle name="ปกติ 124 3" xfId="651"/>
    <cellStyle name="ปกติ 124 4" xfId="861"/>
    <cellStyle name="ปกติ 124 5" xfId="1069"/>
    <cellStyle name="ปกติ 124 6" xfId="1279"/>
    <cellStyle name="ปกติ 124 7" xfId="1484"/>
    <cellStyle name="ปกติ 124 8" xfId="1691"/>
    <cellStyle name="ปกติ 124 9" xfId="1893"/>
    <cellStyle name="ปกติ 125" xfId="219"/>
    <cellStyle name="ปกติ 125 10" xfId="2196"/>
    <cellStyle name="ปกติ 125 11" xfId="3208"/>
    <cellStyle name="ปกติ 125 2" xfId="464"/>
    <cellStyle name="ปกติ 125 3" xfId="653"/>
    <cellStyle name="ปกติ 125 4" xfId="863"/>
    <cellStyle name="ปกติ 125 5" xfId="1071"/>
    <cellStyle name="ปกติ 125 6" xfId="1281"/>
    <cellStyle name="ปกติ 125 7" xfId="1486"/>
    <cellStyle name="ปกติ 125 8" xfId="1693"/>
    <cellStyle name="ปกติ 125 9" xfId="1895"/>
    <cellStyle name="ปกติ 126" xfId="220"/>
    <cellStyle name="ปกติ 126 10" xfId="2197"/>
    <cellStyle name="ปกติ 126 11" xfId="3209"/>
    <cellStyle name="ปกติ 126 2" xfId="465"/>
    <cellStyle name="ปกติ 126 3" xfId="654"/>
    <cellStyle name="ปกติ 126 4" xfId="864"/>
    <cellStyle name="ปกติ 126 5" xfId="1072"/>
    <cellStyle name="ปกติ 126 6" xfId="1282"/>
    <cellStyle name="ปกติ 126 7" xfId="1487"/>
    <cellStyle name="ปกติ 126 8" xfId="1694"/>
    <cellStyle name="ปกติ 126 9" xfId="1896"/>
    <cellStyle name="ปกติ 127" xfId="222"/>
    <cellStyle name="ปกติ 127 10" xfId="2199"/>
    <cellStyle name="ปกติ 127 11" xfId="3210"/>
    <cellStyle name="ปกติ 127 2" xfId="467"/>
    <cellStyle name="ปกติ 127 3" xfId="656"/>
    <cellStyle name="ปกติ 127 4" xfId="866"/>
    <cellStyle name="ปกติ 127 5" xfId="1074"/>
    <cellStyle name="ปกติ 127 6" xfId="1284"/>
    <cellStyle name="ปกติ 127 7" xfId="1489"/>
    <cellStyle name="ปกติ 127 8" xfId="1696"/>
    <cellStyle name="ปกติ 127 9" xfId="1898"/>
    <cellStyle name="ปกติ 128" xfId="223"/>
    <cellStyle name="ปกติ 128 10" xfId="2200"/>
    <cellStyle name="ปกติ 128 11" xfId="3211"/>
    <cellStyle name="ปกติ 128 2" xfId="468"/>
    <cellStyle name="ปกติ 128 3" xfId="657"/>
    <cellStyle name="ปกติ 128 4" xfId="867"/>
    <cellStyle name="ปกติ 128 5" xfId="1075"/>
    <cellStyle name="ปกติ 128 6" xfId="1285"/>
    <cellStyle name="ปกติ 128 7" xfId="1490"/>
    <cellStyle name="ปกติ 128 8" xfId="1697"/>
    <cellStyle name="ปกติ 128 9" xfId="1899"/>
    <cellStyle name="ปกติ 129" xfId="225"/>
    <cellStyle name="ปกติ 129 10" xfId="2202"/>
    <cellStyle name="ปกติ 129 11" xfId="3212"/>
    <cellStyle name="ปกติ 129 2" xfId="470"/>
    <cellStyle name="ปกติ 129 3" xfId="659"/>
    <cellStyle name="ปกติ 129 4" xfId="869"/>
    <cellStyle name="ปกติ 129 5" xfId="1077"/>
    <cellStyle name="ปกติ 129 6" xfId="1287"/>
    <cellStyle name="ปกติ 129 7" xfId="1492"/>
    <cellStyle name="ปกติ 129 8" xfId="1699"/>
    <cellStyle name="ปกติ 129 9" xfId="1901"/>
    <cellStyle name="ปกติ 130" xfId="226"/>
    <cellStyle name="ปกติ 130 10" xfId="2203"/>
    <cellStyle name="ปกติ 130 11" xfId="3213"/>
    <cellStyle name="ปกติ 130 2" xfId="471"/>
    <cellStyle name="ปกติ 130 3" xfId="660"/>
    <cellStyle name="ปกติ 130 4" xfId="870"/>
    <cellStyle name="ปกติ 130 5" xfId="1078"/>
    <cellStyle name="ปกติ 130 6" xfId="1288"/>
    <cellStyle name="ปกติ 130 7" xfId="1493"/>
    <cellStyle name="ปกติ 130 8" xfId="1700"/>
    <cellStyle name="ปกติ 130 9" xfId="1902"/>
    <cellStyle name="ปกติ 131" xfId="228"/>
    <cellStyle name="ปกติ 131 10" xfId="2205"/>
    <cellStyle name="ปกติ 131 11" xfId="3214"/>
    <cellStyle name="ปกติ 131 2" xfId="473"/>
    <cellStyle name="ปกติ 131 3" xfId="662"/>
    <cellStyle name="ปกติ 131 4" xfId="872"/>
    <cellStyle name="ปกติ 131 5" xfId="1080"/>
    <cellStyle name="ปกติ 131 6" xfId="1290"/>
    <cellStyle name="ปกติ 131 7" xfId="1495"/>
    <cellStyle name="ปกติ 131 8" xfId="1702"/>
    <cellStyle name="ปกติ 131 9" xfId="1904"/>
    <cellStyle name="ปกติ 2" xfId="17"/>
    <cellStyle name="ปกติ 2 2" xfId="2277"/>
    <cellStyle name="ปกติ 2 3" xfId="2664"/>
    <cellStyle name="ปกติ 2 4" xfId="253"/>
    <cellStyle name="ปกติ 3" xfId="2037"/>
    <cellStyle name="ปกติ 48" xfId="116"/>
    <cellStyle name="ปกติ 48 10" xfId="2092"/>
    <cellStyle name="ปกติ 48 11" xfId="3215"/>
    <cellStyle name="ปกติ 48 2" xfId="360"/>
    <cellStyle name="ปกติ 48 3" xfId="549"/>
    <cellStyle name="ปกติ 48 4" xfId="759"/>
    <cellStyle name="ปกติ 48 5" xfId="967"/>
    <cellStyle name="ปกติ 48 6" xfId="1177"/>
    <cellStyle name="ปกติ 48 7" xfId="1382"/>
    <cellStyle name="ปกติ 48 8" xfId="1589"/>
    <cellStyle name="ปกติ 48 9" xfId="1791"/>
    <cellStyle name="ปกติ 49" xfId="118"/>
    <cellStyle name="ปกติ 49 10" xfId="2094"/>
    <cellStyle name="ปกติ 49 11" xfId="3216"/>
    <cellStyle name="ปกติ 49 2" xfId="362"/>
    <cellStyle name="ปกติ 49 3" xfId="551"/>
    <cellStyle name="ปกติ 49 4" xfId="761"/>
    <cellStyle name="ปกติ 49 5" xfId="969"/>
    <cellStyle name="ปกติ 49 6" xfId="1179"/>
    <cellStyle name="ปกติ 49 7" xfId="1384"/>
    <cellStyle name="ปกติ 49 8" xfId="1591"/>
    <cellStyle name="ปกติ 49 9" xfId="1793"/>
    <cellStyle name="ปกติ 50" xfId="119"/>
    <cellStyle name="ปกติ 50 10" xfId="2095"/>
    <cellStyle name="ปกติ 50 11" xfId="3217"/>
    <cellStyle name="ปกติ 50 2" xfId="363"/>
    <cellStyle name="ปกติ 50 3" xfId="552"/>
    <cellStyle name="ปกติ 50 4" xfId="762"/>
    <cellStyle name="ปกติ 50 5" xfId="970"/>
    <cellStyle name="ปกติ 50 6" xfId="1180"/>
    <cellStyle name="ปกติ 50 7" xfId="1385"/>
    <cellStyle name="ปกติ 50 8" xfId="1592"/>
    <cellStyle name="ปกติ 50 9" xfId="1794"/>
    <cellStyle name="ปกติ 51" xfId="121"/>
    <cellStyle name="ปกติ 51 10" xfId="2097"/>
    <cellStyle name="ปกติ 51 11" xfId="3218"/>
    <cellStyle name="ปกติ 51 2" xfId="365"/>
    <cellStyle name="ปกติ 51 3" xfId="554"/>
    <cellStyle name="ปกติ 51 4" xfId="764"/>
    <cellStyle name="ปกติ 51 5" xfId="972"/>
    <cellStyle name="ปกติ 51 6" xfId="1182"/>
    <cellStyle name="ปกติ 51 7" xfId="1387"/>
    <cellStyle name="ปกติ 51 8" xfId="1594"/>
    <cellStyle name="ปกติ 51 9" xfId="1796"/>
    <cellStyle name="ปกติ 52" xfId="122"/>
    <cellStyle name="ปกติ 52 10" xfId="2098"/>
    <cellStyle name="ปกติ 52 11" xfId="3219"/>
    <cellStyle name="ปกติ 52 2" xfId="366"/>
    <cellStyle name="ปกติ 52 3" xfId="555"/>
    <cellStyle name="ปกติ 52 4" xfId="765"/>
    <cellStyle name="ปกติ 52 5" xfId="973"/>
    <cellStyle name="ปกติ 52 6" xfId="1183"/>
    <cellStyle name="ปกติ 52 7" xfId="1388"/>
    <cellStyle name="ปกติ 52 8" xfId="1595"/>
    <cellStyle name="ปกติ 52 9" xfId="1797"/>
    <cellStyle name="ปกติ 53" xfId="124"/>
    <cellStyle name="ปกติ 53 10" xfId="2100"/>
    <cellStyle name="ปกติ 53 11" xfId="3220"/>
    <cellStyle name="ปกติ 53 2" xfId="368"/>
    <cellStyle name="ปกติ 53 3" xfId="557"/>
    <cellStyle name="ปกติ 53 4" xfId="767"/>
    <cellStyle name="ปกติ 53 5" xfId="975"/>
    <cellStyle name="ปกติ 53 6" xfId="1185"/>
    <cellStyle name="ปกติ 53 7" xfId="1390"/>
    <cellStyle name="ปกติ 53 8" xfId="1597"/>
    <cellStyle name="ปกติ 53 9" xfId="1799"/>
    <cellStyle name="ปกติ 54" xfId="125"/>
    <cellStyle name="ปกติ 54 10" xfId="2101"/>
    <cellStyle name="ปกติ 54 11" xfId="3221"/>
    <cellStyle name="ปกติ 54 2" xfId="369"/>
    <cellStyle name="ปกติ 54 3" xfId="558"/>
    <cellStyle name="ปกติ 54 4" xfId="768"/>
    <cellStyle name="ปกติ 54 5" xfId="976"/>
    <cellStyle name="ปกติ 54 6" xfId="1186"/>
    <cellStyle name="ปกติ 54 7" xfId="1391"/>
    <cellStyle name="ปกติ 54 8" xfId="1598"/>
    <cellStyle name="ปกติ 54 9" xfId="1800"/>
    <cellStyle name="ปกติ 55" xfId="26"/>
    <cellStyle name="ปกติ 55 10" xfId="2103"/>
    <cellStyle name="ปกติ 55 11" xfId="3222"/>
    <cellStyle name="ปกติ 55 2" xfId="371"/>
    <cellStyle name="ปกติ 55 3" xfId="560"/>
    <cellStyle name="ปกติ 55 4" xfId="770"/>
    <cellStyle name="ปกติ 55 5" xfId="978"/>
    <cellStyle name="ปกติ 55 6" xfId="1188"/>
    <cellStyle name="ปกติ 55 7" xfId="1393"/>
    <cellStyle name="ปกติ 55 8" xfId="1600"/>
    <cellStyle name="ปกติ 55 9" xfId="1802"/>
    <cellStyle name="ปกติ 58" xfId="127"/>
    <cellStyle name="ปกติ 58 10" xfId="2104"/>
    <cellStyle name="ปกติ 58 11" xfId="3223"/>
    <cellStyle name="ปกติ 58 2" xfId="372"/>
    <cellStyle name="ปกติ 58 3" xfId="561"/>
    <cellStyle name="ปกติ 58 4" xfId="771"/>
    <cellStyle name="ปกติ 58 5" xfId="979"/>
    <cellStyle name="ปกติ 58 6" xfId="1189"/>
    <cellStyle name="ปกติ 58 7" xfId="1394"/>
    <cellStyle name="ปกติ 58 8" xfId="1601"/>
    <cellStyle name="ปกติ 58 9" xfId="1803"/>
    <cellStyle name="ปกติ 60" xfId="129"/>
    <cellStyle name="ปกติ 60 10" xfId="2106"/>
    <cellStyle name="ปกติ 60 11" xfId="3224"/>
    <cellStyle name="ปกติ 60 2" xfId="374"/>
    <cellStyle name="ปกติ 60 3" xfId="563"/>
    <cellStyle name="ปกติ 60 4" xfId="773"/>
    <cellStyle name="ปกติ 60 5" xfId="981"/>
    <cellStyle name="ปกติ 60 6" xfId="1191"/>
    <cellStyle name="ปกติ 60 7" xfId="1396"/>
    <cellStyle name="ปกติ 60 8" xfId="1603"/>
    <cellStyle name="ปกติ 60 9" xfId="1805"/>
    <cellStyle name="ปกติ 61" xfId="130"/>
    <cellStyle name="ปกติ 61 10" xfId="2107"/>
    <cellStyle name="ปกติ 61 11" xfId="3225"/>
    <cellStyle name="ปกติ 61 2" xfId="375"/>
    <cellStyle name="ปกติ 61 3" xfId="564"/>
    <cellStyle name="ปกติ 61 4" xfId="774"/>
    <cellStyle name="ปกติ 61 5" xfId="982"/>
    <cellStyle name="ปกติ 61 6" xfId="1192"/>
    <cellStyle name="ปกติ 61 7" xfId="1397"/>
    <cellStyle name="ปกติ 61 8" xfId="1604"/>
    <cellStyle name="ปกติ 61 9" xfId="1806"/>
    <cellStyle name="ปกติ 62" xfId="132"/>
    <cellStyle name="ปกติ 62 10" xfId="2109"/>
    <cellStyle name="ปกติ 62 11" xfId="3226"/>
    <cellStyle name="ปกติ 62 2" xfId="377"/>
    <cellStyle name="ปกติ 62 3" xfId="566"/>
    <cellStyle name="ปกติ 62 4" xfId="776"/>
    <cellStyle name="ปกติ 62 5" xfId="984"/>
    <cellStyle name="ปกติ 62 6" xfId="1194"/>
    <cellStyle name="ปกติ 62 7" xfId="1399"/>
    <cellStyle name="ปกติ 62 8" xfId="1606"/>
    <cellStyle name="ปกติ 62 9" xfId="1808"/>
    <cellStyle name="ปกติ 63" xfId="133"/>
    <cellStyle name="ปกติ 63 10" xfId="2110"/>
    <cellStyle name="ปกติ 63 11" xfId="3227"/>
    <cellStyle name="ปกติ 63 2" xfId="378"/>
    <cellStyle name="ปกติ 63 3" xfId="567"/>
    <cellStyle name="ปกติ 63 4" xfId="777"/>
    <cellStyle name="ปกติ 63 5" xfId="985"/>
    <cellStyle name="ปกติ 63 6" xfId="1195"/>
    <cellStyle name="ปกติ 63 7" xfId="1400"/>
    <cellStyle name="ปกติ 63 8" xfId="1607"/>
    <cellStyle name="ปกติ 63 9" xfId="1809"/>
    <cellStyle name="ปกติ 64" xfId="135"/>
    <cellStyle name="ปกติ 64 10" xfId="2112"/>
    <cellStyle name="ปกติ 64 11" xfId="3228"/>
    <cellStyle name="ปกติ 64 2" xfId="380"/>
    <cellStyle name="ปกติ 64 3" xfId="569"/>
    <cellStyle name="ปกติ 64 4" xfId="779"/>
    <cellStyle name="ปกติ 64 5" xfId="987"/>
    <cellStyle name="ปกติ 64 6" xfId="1197"/>
    <cellStyle name="ปกติ 64 7" xfId="1402"/>
    <cellStyle name="ปกติ 64 8" xfId="1609"/>
    <cellStyle name="ปกติ 64 9" xfId="1811"/>
    <cellStyle name="ปกติ 65" xfId="138"/>
    <cellStyle name="ปกติ 65 10" xfId="2115"/>
    <cellStyle name="ปกติ 65 11" xfId="3229"/>
    <cellStyle name="ปกติ 65 2" xfId="383"/>
    <cellStyle name="ปกติ 65 3" xfId="572"/>
    <cellStyle name="ปกติ 65 4" xfId="782"/>
    <cellStyle name="ปกติ 65 5" xfId="990"/>
    <cellStyle name="ปกติ 65 6" xfId="1200"/>
    <cellStyle name="ปกติ 65 7" xfId="1405"/>
    <cellStyle name="ปกติ 65 8" xfId="1612"/>
    <cellStyle name="ปกติ 65 9" xfId="1814"/>
    <cellStyle name="ปกติ 66" xfId="136"/>
    <cellStyle name="ปกติ 66 10" xfId="2113"/>
    <cellStyle name="ปกติ 66 11" xfId="3230"/>
    <cellStyle name="ปกติ 66 2" xfId="381"/>
    <cellStyle name="ปกติ 66 3" xfId="570"/>
    <cellStyle name="ปกติ 66 4" xfId="780"/>
    <cellStyle name="ปกติ 66 5" xfId="988"/>
    <cellStyle name="ปกติ 66 6" xfId="1198"/>
    <cellStyle name="ปกติ 66 7" xfId="1403"/>
    <cellStyle name="ปกติ 66 8" xfId="1610"/>
    <cellStyle name="ปกติ 66 9" xfId="1812"/>
    <cellStyle name="ปกติ 67" xfId="139"/>
    <cellStyle name="ปกติ 67 10" xfId="2116"/>
    <cellStyle name="ปกติ 67 11" xfId="3231"/>
    <cellStyle name="ปกติ 67 2" xfId="384"/>
    <cellStyle name="ปกติ 67 3" xfId="573"/>
    <cellStyle name="ปกติ 67 4" xfId="783"/>
    <cellStyle name="ปกติ 67 5" xfId="991"/>
    <cellStyle name="ปกติ 67 6" xfId="1201"/>
    <cellStyle name="ปกติ 67 7" xfId="1406"/>
    <cellStyle name="ปกติ 67 8" xfId="1613"/>
    <cellStyle name="ปกติ 67 9" xfId="1815"/>
    <cellStyle name="ปกติ 68" xfId="141"/>
    <cellStyle name="ปกติ 68 10" xfId="2118"/>
    <cellStyle name="ปกติ 68 11" xfId="3232"/>
    <cellStyle name="ปกติ 68 2" xfId="386"/>
    <cellStyle name="ปกติ 68 3" xfId="575"/>
    <cellStyle name="ปกติ 68 4" xfId="785"/>
    <cellStyle name="ปกติ 68 5" xfId="993"/>
    <cellStyle name="ปกติ 68 6" xfId="1203"/>
    <cellStyle name="ปกติ 68 7" xfId="1408"/>
    <cellStyle name="ปกติ 68 8" xfId="1615"/>
    <cellStyle name="ปกติ 68 9" xfId="1817"/>
    <cellStyle name="ปกติ 69" xfId="142"/>
    <cellStyle name="ปกติ 69 10" xfId="2119"/>
    <cellStyle name="ปกติ 69 11" xfId="3233"/>
    <cellStyle name="ปกติ 69 2" xfId="387"/>
    <cellStyle name="ปกติ 69 3" xfId="576"/>
    <cellStyle name="ปกติ 69 4" xfId="786"/>
    <cellStyle name="ปกติ 69 5" xfId="994"/>
    <cellStyle name="ปกติ 69 6" xfId="1204"/>
    <cellStyle name="ปกติ 69 7" xfId="1409"/>
    <cellStyle name="ปกติ 69 8" xfId="1616"/>
    <cellStyle name="ปกติ 69 9" xfId="1818"/>
    <cellStyle name="ปกติ 70" xfId="144"/>
    <cellStyle name="ปกติ 70 10" xfId="2121"/>
    <cellStyle name="ปกติ 70 11" xfId="3234"/>
    <cellStyle name="ปกติ 70 2" xfId="389"/>
    <cellStyle name="ปกติ 70 3" xfId="578"/>
    <cellStyle name="ปกติ 70 4" xfId="788"/>
    <cellStyle name="ปกติ 70 5" xfId="996"/>
    <cellStyle name="ปกติ 70 6" xfId="1206"/>
    <cellStyle name="ปกติ 70 7" xfId="1411"/>
    <cellStyle name="ปกติ 70 8" xfId="1618"/>
    <cellStyle name="ปกติ 70 9" xfId="1820"/>
    <cellStyle name="ปกติ 71" xfId="145"/>
    <cellStyle name="ปกติ 71 10" xfId="2122"/>
    <cellStyle name="ปกติ 71 11" xfId="3235"/>
    <cellStyle name="ปกติ 71 2" xfId="390"/>
    <cellStyle name="ปกติ 71 3" xfId="579"/>
    <cellStyle name="ปกติ 71 4" xfId="789"/>
    <cellStyle name="ปกติ 71 5" xfId="997"/>
    <cellStyle name="ปกติ 71 6" xfId="1207"/>
    <cellStyle name="ปกติ 71 7" xfId="1412"/>
    <cellStyle name="ปกติ 71 8" xfId="1619"/>
    <cellStyle name="ปกติ 71 9" xfId="1821"/>
    <cellStyle name="ปกติ 72" xfId="147"/>
    <cellStyle name="ปกติ 72 10" xfId="2124"/>
    <cellStyle name="ปกติ 72 11" xfId="3236"/>
    <cellStyle name="ปกติ 72 2" xfId="392"/>
    <cellStyle name="ปกติ 72 3" xfId="581"/>
    <cellStyle name="ปกติ 72 4" xfId="791"/>
    <cellStyle name="ปกติ 72 5" xfId="999"/>
    <cellStyle name="ปกติ 72 6" xfId="1209"/>
    <cellStyle name="ปกติ 72 7" xfId="1414"/>
    <cellStyle name="ปกติ 72 8" xfId="1621"/>
    <cellStyle name="ปกติ 72 9" xfId="1823"/>
    <cellStyle name="ปกติ 73" xfId="148"/>
    <cellStyle name="ปกติ 73 10" xfId="2125"/>
    <cellStyle name="ปกติ 73 11" xfId="3237"/>
    <cellStyle name="ปกติ 73 2" xfId="393"/>
    <cellStyle name="ปกติ 73 3" xfId="582"/>
    <cellStyle name="ปกติ 73 4" xfId="792"/>
    <cellStyle name="ปกติ 73 5" xfId="1000"/>
    <cellStyle name="ปกติ 73 6" xfId="1210"/>
    <cellStyle name="ปกติ 73 7" xfId="1415"/>
    <cellStyle name="ปกติ 73 8" xfId="1622"/>
    <cellStyle name="ปกติ 73 9" xfId="1824"/>
    <cellStyle name="ปกติ 74" xfId="150"/>
    <cellStyle name="ปกติ 74 10" xfId="2127"/>
    <cellStyle name="ปกติ 74 11" xfId="3238"/>
    <cellStyle name="ปกติ 74 2" xfId="395"/>
    <cellStyle name="ปกติ 74 3" xfId="584"/>
    <cellStyle name="ปกติ 74 4" xfId="794"/>
    <cellStyle name="ปกติ 74 5" xfId="1002"/>
    <cellStyle name="ปกติ 74 6" xfId="1212"/>
    <cellStyle name="ปกติ 74 7" xfId="1417"/>
    <cellStyle name="ปกติ 74 8" xfId="1624"/>
    <cellStyle name="ปกติ 74 9" xfId="1826"/>
    <cellStyle name="ปกติ 75" xfId="151"/>
    <cellStyle name="ปกติ 75 10" xfId="2128"/>
    <cellStyle name="ปกติ 75 11" xfId="3239"/>
    <cellStyle name="ปกติ 75 2" xfId="396"/>
    <cellStyle name="ปกติ 75 3" xfId="585"/>
    <cellStyle name="ปกติ 75 4" xfId="795"/>
    <cellStyle name="ปกติ 75 5" xfId="1003"/>
    <cellStyle name="ปกติ 75 6" xfId="1213"/>
    <cellStyle name="ปกติ 75 7" xfId="1418"/>
    <cellStyle name="ปกติ 75 8" xfId="1625"/>
    <cellStyle name="ปกติ 75 9" xfId="1827"/>
    <cellStyle name="ปกติ 76" xfId="153"/>
    <cellStyle name="ปกติ 76 10" xfId="2130"/>
    <cellStyle name="ปกติ 76 11" xfId="3240"/>
    <cellStyle name="ปกติ 76 2" xfId="398"/>
    <cellStyle name="ปกติ 76 3" xfId="587"/>
    <cellStyle name="ปกติ 76 4" xfId="797"/>
    <cellStyle name="ปกติ 76 5" xfId="1005"/>
    <cellStyle name="ปกติ 76 6" xfId="1215"/>
    <cellStyle name="ปกติ 76 7" xfId="1420"/>
    <cellStyle name="ปกติ 76 8" xfId="1627"/>
    <cellStyle name="ปกติ 76 9" xfId="1829"/>
    <cellStyle name="ปกติ 77" xfId="154"/>
    <cellStyle name="ปกติ 77 10" xfId="2131"/>
    <cellStyle name="ปกติ 77 11" xfId="3241"/>
    <cellStyle name="ปกติ 77 2" xfId="399"/>
    <cellStyle name="ปกติ 77 3" xfId="588"/>
    <cellStyle name="ปกติ 77 4" xfId="798"/>
    <cellStyle name="ปกติ 77 5" xfId="1006"/>
    <cellStyle name="ปกติ 77 6" xfId="1216"/>
    <cellStyle name="ปกติ 77 7" xfId="1421"/>
    <cellStyle name="ปกติ 77 8" xfId="1628"/>
    <cellStyle name="ปกติ 77 9" xfId="1830"/>
    <cellStyle name="ปกติ 78" xfId="156"/>
    <cellStyle name="ปกติ 78 10" xfId="2133"/>
    <cellStyle name="ปกติ 78 11" xfId="3242"/>
    <cellStyle name="ปกติ 78 2" xfId="401"/>
    <cellStyle name="ปกติ 78 3" xfId="590"/>
    <cellStyle name="ปกติ 78 4" xfId="800"/>
    <cellStyle name="ปกติ 78 5" xfId="1008"/>
    <cellStyle name="ปกติ 78 6" xfId="1218"/>
    <cellStyle name="ปกติ 78 7" xfId="1423"/>
    <cellStyle name="ปกติ 78 8" xfId="1630"/>
    <cellStyle name="ปกติ 78 9" xfId="1832"/>
    <cellStyle name="ปกติ 79" xfId="157"/>
    <cellStyle name="ปกติ 79 10" xfId="2134"/>
    <cellStyle name="ปกติ 79 11" xfId="3243"/>
    <cellStyle name="ปกติ 79 2" xfId="402"/>
    <cellStyle name="ปกติ 79 3" xfId="591"/>
    <cellStyle name="ปกติ 79 4" xfId="801"/>
    <cellStyle name="ปกติ 79 5" xfId="1009"/>
    <cellStyle name="ปกติ 79 6" xfId="1219"/>
    <cellStyle name="ปกติ 79 7" xfId="1424"/>
    <cellStyle name="ปกติ 79 8" xfId="1631"/>
    <cellStyle name="ปกติ 79 9" xfId="1833"/>
    <cellStyle name="ปกติ 80" xfId="159"/>
    <cellStyle name="ปกติ 80 10" xfId="2136"/>
    <cellStyle name="ปกติ 80 11" xfId="3244"/>
    <cellStyle name="ปกติ 80 2" xfId="404"/>
    <cellStyle name="ปกติ 80 3" xfId="593"/>
    <cellStyle name="ปกติ 80 4" xfId="803"/>
    <cellStyle name="ปกติ 80 5" xfId="1011"/>
    <cellStyle name="ปกติ 80 6" xfId="1221"/>
    <cellStyle name="ปกติ 80 7" xfId="1426"/>
    <cellStyle name="ปกติ 80 8" xfId="1633"/>
    <cellStyle name="ปกติ 80 9" xfId="1835"/>
    <cellStyle name="ปกติ 81" xfId="160"/>
    <cellStyle name="ปกติ 81 10" xfId="2137"/>
    <cellStyle name="ปกติ 81 11" xfId="3245"/>
    <cellStyle name="ปกติ 81 2" xfId="405"/>
    <cellStyle name="ปกติ 81 3" xfId="594"/>
    <cellStyle name="ปกติ 81 4" xfId="804"/>
    <cellStyle name="ปกติ 81 5" xfId="1012"/>
    <cellStyle name="ปกติ 81 6" xfId="1222"/>
    <cellStyle name="ปกติ 81 7" xfId="1427"/>
    <cellStyle name="ปกติ 81 8" xfId="1634"/>
    <cellStyle name="ปกติ 81 9" xfId="1836"/>
    <cellStyle name="ปกติ 82" xfId="162"/>
    <cellStyle name="ปกติ 82 10" xfId="2139"/>
    <cellStyle name="ปกติ 82 11" xfId="3246"/>
    <cellStyle name="ปกติ 82 2" xfId="407"/>
    <cellStyle name="ปกติ 82 3" xfId="596"/>
    <cellStyle name="ปกติ 82 4" xfId="806"/>
    <cellStyle name="ปกติ 82 5" xfId="1014"/>
    <cellStyle name="ปกติ 82 6" xfId="1224"/>
    <cellStyle name="ปกติ 82 7" xfId="1429"/>
    <cellStyle name="ปกติ 82 8" xfId="1636"/>
    <cellStyle name="ปกติ 82 9" xfId="1838"/>
    <cellStyle name="ปกติ 83" xfId="163"/>
    <cellStyle name="ปกติ 83 10" xfId="2140"/>
    <cellStyle name="ปกติ 83 11" xfId="3247"/>
    <cellStyle name="ปกติ 83 2" xfId="408"/>
    <cellStyle name="ปกติ 83 3" xfId="597"/>
    <cellStyle name="ปกติ 83 4" xfId="807"/>
    <cellStyle name="ปกติ 83 5" xfId="1015"/>
    <cellStyle name="ปกติ 83 6" xfId="1225"/>
    <cellStyle name="ปกติ 83 7" xfId="1430"/>
    <cellStyle name="ปกติ 83 8" xfId="1637"/>
    <cellStyle name="ปกติ 83 9" xfId="1839"/>
    <cellStyle name="ปกติ 84" xfId="165"/>
    <cellStyle name="ปกติ 84 10" xfId="2142"/>
    <cellStyle name="ปกติ 84 11" xfId="3248"/>
    <cellStyle name="ปกติ 84 2" xfId="410"/>
    <cellStyle name="ปกติ 84 3" xfId="599"/>
    <cellStyle name="ปกติ 84 4" xfId="809"/>
    <cellStyle name="ปกติ 84 5" xfId="1017"/>
    <cellStyle name="ปกติ 84 6" xfId="1227"/>
    <cellStyle name="ปกติ 84 7" xfId="1432"/>
    <cellStyle name="ปกติ 84 8" xfId="1639"/>
    <cellStyle name="ปกติ 84 9" xfId="1841"/>
    <cellStyle name="ปกติ 85" xfId="166"/>
    <cellStyle name="ปกติ 85 10" xfId="2143"/>
    <cellStyle name="ปกติ 85 11" xfId="3249"/>
    <cellStyle name="ปกติ 85 2" xfId="411"/>
    <cellStyle name="ปกติ 85 3" xfId="600"/>
    <cellStyle name="ปกติ 85 4" xfId="810"/>
    <cellStyle name="ปกติ 85 5" xfId="1018"/>
    <cellStyle name="ปกติ 85 6" xfId="1228"/>
    <cellStyle name="ปกติ 85 7" xfId="1433"/>
    <cellStyle name="ปกติ 85 8" xfId="1640"/>
    <cellStyle name="ปกติ 85 9" xfId="1842"/>
    <cellStyle name="ปกติ 86" xfId="168"/>
    <cellStyle name="ปกติ 86 10" xfId="2145"/>
    <cellStyle name="ปกติ 86 11" xfId="3250"/>
    <cellStyle name="ปกติ 86 2" xfId="413"/>
    <cellStyle name="ปกติ 86 3" xfId="602"/>
    <cellStyle name="ปกติ 86 4" xfId="812"/>
    <cellStyle name="ปกติ 86 5" xfId="1020"/>
    <cellStyle name="ปกติ 86 6" xfId="1230"/>
    <cellStyle name="ปกติ 86 7" xfId="1435"/>
    <cellStyle name="ปกติ 86 8" xfId="1642"/>
    <cellStyle name="ปกติ 86 9" xfId="1844"/>
    <cellStyle name="ปกติ 87" xfId="169"/>
    <cellStyle name="ปกติ 87 10" xfId="2146"/>
    <cellStyle name="ปกติ 87 11" xfId="3251"/>
    <cellStyle name="ปกติ 87 2" xfId="414"/>
    <cellStyle name="ปกติ 87 3" xfId="603"/>
    <cellStyle name="ปกติ 87 4" xfId="813"/>
    <cellStyle name="ปกติ 87 5" xfId="1021"/>
    <cellStyle name="ปกติ 87 6" xfId="1231"/>
    <cellStyle name="ปกติ 87 7" xfId="1436"/>
    <cellStyle name="ปกติ 87 8" xfId="1643"/>
    <cellStyle name="ปกติ 87 9" xfId="1845"/>
    <cellStyle name="ปกติ 88" xfId="171"/>
    <cellStyle name="ปกติ 88 10" xfId="2148"/>
    <cellStyle name="ปกติ 88 11" xfId="3252"/>
    <cellStyle name="ปกติ 88 2" xfId="416"/>
    <cellStyle name="ปกติ 88 3" xfId="605"/>
    <cellStyle name="ปกติ 88 4" xfId="815"/>
    <cellStyle name="ปกติ 88 5" xfId="1023"/>
    <cellStyle name="ปกติ 88 6" xfId="1233"/>
    <cellStyle name="ปกติ 88 7" xfId="1438"/>
    <cellStyle name="ปกติ 88 8" xfId="1645"/>
    <cellStyle name="ปกติ 88 9" xfId="1847"/>
    <cellStyle name="ปกติ 89" xfId="172"/>
    <cellStyle name="ปกติ 89 10" xfId="2149"/>
    <cellStyle name="ปกติ 89 11" xfId="3253"/>
    <cellStyle name="ปกติ 89 2" xfId="417"/>
    <cellStyle name="ปกติ 89 3" xfId="606"/>
    <cellStyle name="ปกติ 89 4" xfId="816"/>
    <cellStyle name="ปกติ 89 5" xfId="1024"/>
    <cellStyle name="ปกติ 89 6" xfId="1234"/>
    <cellStyle name="ปกติ 89 7" xfId="1439"/>
    <cellStyle name="ปกติ 89 8" xfId="1646"/>
    <cellStyle name="ปกติ 89 9" xfId="1848"/>
    <cellStyle name="ปกติ 90" xfId="174"/>
    <cellStyle name="ปกติ 90 10" xfId="2151"/>
    <cellStyle name="ปกติ 90 11" xfId="3254"/>
    <cellStyle name="ปกติ 90 2" xfId="419"/>
    <cellStyle name="ปกติ 90 3" xfId="608"/>
    <cellStyle name="ปกติ 90 4" xfId="818"/>
    <cellStyle name="ปกติ 90 5" xfId="1026"/>
    <cellStyle name="ปกติ 90 6" xfId="1236"/>
    <cellStyle name="ปกติ 90 7" xfId="1441"/>
    <cellStyle name="ปกติ 90 8" xfId="1648"/>
    <cellStyle name="ปกติ 90 9" xfId="1850"/>
    <cellStyle name="ปกติ 91" xfId="175"/>
    <cellStyle name="ปกติ 91 10" xfId="2152"/>
    <cellStyle name="ปกติ 91 11" xfId="3255"/>
    <cellStyle name="ปกติ 91 2" xfId="420"/>
    <cellStyle name="ปกติ 91 3" xfId="609"/>
    <cellStyle name="ปกติ 91 4" xfId="819"/>
    <cellStyle name="ปกติ 91 5" xfId="1027"/>
    <cellStyle name="ปกติ 91 6" xfId="1237"/>
    <cellStyle name="ปกติ 91 7" xfId="1442"/>
    <cellStyle name="ปกติ 91 8" xfId="1649"/>
    <cellStyle name="ปกติ 91 9" xfId="1851"/>
    <cellStyle name="ปกติ 92" xfId="177"/>
    <cellStyle name="ปกติ 92 10" xfId="2154"/>
    <cellStyle name="ปกติ 92 11" xfId="3256"/>
    <cellStyle name="ปกติ 92 2" xfId="422"/>
    <cellStyle name="ปกติ 92 3" xfId="611"/>
    <cellStyle name="ปกติ 92 4" xfId="821"/>
    <cellStyle name="ปกติ 92 5" xfId="1029"/>
    <cellStyle name="ปกติ 92 6" xfId="1239"/>
    <cellStyle name="ปกติ 92 7" xfId="1444"/>
    <cellStyle name="ปกติ 92 8" xfId="1651"/>
    <cellStyle name="ปกติ 92 9" xfId="1853"/>
    <cellStyle name="ปกติ 93" xfId="178"/>
    <cellStyle name="ปกติ 93 10" xfId="2155"/>
    <cellStyle name="ปกติ 93 11" xfId="3257"/>
    <cellStyle name="ปกติ 93 2" xfId="423"/>
    <cellStyle name="ปกติ 93 3" xfId="612"/>
    <cellStyle name="ปกติ 93 4" xfId="822"/>
    <cellStyle name="ปกติ 93 5" xfId="1030"/>
    <cellStyle name="ปกติ 93 6" xfId="1240"/>
    <cellStyle name="ปกติ 93 7" xfId="1445"/>
    <cellStyle name="ปกติ 93 8" xfId="1652"/>
    <cellStyle name="ปกติ 93 9" xfId="1854"/>
    <cellStyle name="ปกติ 94" xfId="180"/>
    <cellStyle name="ปกติ 94 10" xfId="2157"/>
    <cellStyle name="ปกติ 94 11" xfId="3258"/>
    <cellStyle name="ปกติ 94 2" xfId="425"/>
    <cellStyle name="ปกติ 94 3" xfId="614"/>
    <cellStyle name="ปกติ 94 4" xfId="824"/>
    <cellStyle name="ปกติ 94 5" xfId="1032"/>
    <cellStyle name="ปกติ 94 6" xfId="1242"/>
    <cellStyle name="ปกติ 94 7" xfId="1447"/>
    <cellStyle name="ปกติ 94 8" xfId="1654"/>
    <cellStyle name="ปกติ 94 9" xfId="1856"/>
    <cellStyle name="ปกติ 95" xfId="181"/>
    <cellStyle name="ปกติ 95 10" xfId="2158"/>
    <cellStyle name="ปกติ 95 11" xfId="3259"/>
    <cellStyle name="ปกติ 95 2" xfId="426"/>
    <cellStyle name="ปกติ 95 3" xfId="615"/>
    <cellStyle name="ปกติ 95 4" xfId="825"/>
    <cellStyle name="ปกติ 95 5" xfId="1033"/>
    <cellStyle name="ปกติ 95 6" xfId="1243"/>
    <cellStyle name="ปกติ 95 7" xfId="1448"/>
    <cellStyle name="ปกติ 95 8" xfId="1655"/>
    <cellStyle name="ปกติ 95 9" xfId="1857"/>
    <cellStyle name="ปกติ 96" xfId="183"/>
    <cellStyle name="ปกติ 96 10" xfId="2160"/>
    <cellStyle name="ปกติ 96 11" xfId="3260"/>
    <cellStyle name="ปกติ 96 2" xfId="428"/>
    <cellStyle name="ปกติ 96 3" xfId="617"/>
    <cellStyle name="ปกติ 96 4" xfId="827"/>
    <cellStyle name="ปกติ 96 5" xfId="1035"/>
    <cellStyle name="ปกติ 96 6" xfId="1245"/>
    <cellStyle name="ปกติ 96 7" xfId="1450"/>
    <cellStyle name="ปกติ 96 8" xfId="1657"/>
    <cellStyle name="ปกติ 96 9" xfId="1859"/>
    <cellStyle name="ปกติ 97" xfId="184"/>
    <cellStyle name="ปกติ 97 10" xfId="2161"/>
    <cellStyle name="ปกติ 97 11" xfId="3261"/>
    <cellStyle name="ปกติ 97 2" xfId="429"/>
    <cellStyle name="ปกติ 97 3" xfId="618"/>
    <cellStyle name="ปกติ 97 4" xfId="828"/>
    <cellStyle name="ปกติ 97 5" xfId="1036"/>
    <cellStyle name="ปกติ 97 6" xfId="1246"/>
    <cellStyle name="ปกติ 97 7" xfId="1451"/>
    <cellStyle name="ปกติ 97 8" xfId="1658"/>
    <cellStyle name="ปกติ 97 9" xfId="1860"/>
    <cellStyle name="ปกติ 98" xfId="186"/>
    <cellStyle name="ปกติ 98 10" xfId="2163"/>
    <cellStyle name="ปกติ 98 11" xfId="3262"/>
    <cellStyle name="ปกติ 98 2" xfId="431"/>
    <cellStyle name="ปกติ 98 3" xfId="620"/>
    <cellStyle name="ปกติ 98 4" xfId="830"/>
    <cellStyle name="ปกติ 98 5" xfId="1038"/>
    <cellStyle name="ปกติ 98 6" xfId="1248"/>
    <cellStyle name="ปกติ 98 7" xfId="1453"/>
    <cellStyle name="ปกติ 98 8" xfId="1660"/>
    <cellStyle name="ปกติ 98 9" xfId="18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5"/>
  <sheetViews>
    <sheetView view="pageLayout" zoomScale="40" zoomScaleNormal="80" zoomScaleSheetLayoutView="80" zoomScalePageLayoutView="40" workbookViewId="0">
      <selection activeCell="X13" sqref="X13"/>
    </sheetView>
  </sheetViews>
  <sheetFormatPr defaultRowHeight="14.25"/>
  <cols>
    <col min="1" max="1" width="28.375" customWidth="1"/>
    <col min="5" max="5" width="36.3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9.75" customWidth="1"/>
    <col min="34" max="34" width="11.75" style="80" customWidth="1"/>
    <col min="35" max="35" width="9" customWidth="1"/>
    <col min="37" max="37" width="9.625" bestFit="1" customWidth="1"/>
  </cols>
  <sheetData>
    <row r="1" spans="1:45" s="1" customFormat="1" ht="23.25">
      <c r="A1" s="192" t="s">
        <v>217</v>
      </c>
      <c r="B1" s="192"/>
      <c r="C1" s="192"/>
      <c r="D1" s="192"/>
      <c r="E1" s="19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80"/>
    </row>
    <row r="2" spans="1:45" s="1" customFormat="1" ht="30.75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273</v>
      </c>
      <c r="AB2" s="202" t="s">
        <v>245</v>
      </c>
      <c r="AC2" s="203" t="s">
        <v>271</v>
      </c>
      <c r="AD2" s="175" t="s">
        <v>247</v>
      </c>
      <c r="AE2" s="183" t="s">
        <v>248</v>
      </c>
      <c r="AF2" s="175" t="s">
        <v>249</v>
      </c>
      <c r="AG2" s="203" t="s">
        <v>272</v>
      </c>
      <c r="AH2" s="175" t="s">
        <v>251</v>
      </c>
      <c r="AI2" s="175" t="s">
        <v>252</v>
      </c>
      <c r="AK2" s="80"/>
    </row>
    <row r="3" spans="1:45" s="1" customFormat="1" ht="36.7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</row>
    <row r="4" spans="1:45" s="81" customFormat="1" ht="23.25">
      <c r="A4" s="82" t="s">
        <v>9</v>
      </c>
      <c r="B4" s="82">
        <v>421</v>
      </c>
      <c r="C4" s="25">
        <v>304</v>
      </c>
      <c r="D4" s="82">
        <v>301</v>
      </c>
      <c r="E4" s="82" t="s">
        <v>10</v>
      </c>
      <c r="F4" s="16">
        <v>67638</v>
      </c>
      <c r="G4" s="16">
        <v>49884</v>
      </c>
      <c r="H4" s="44">
        <v>17.754000000000001</v>
      </c>
      <c r="I4" s="34">
        <v>4</v>
      </c>
      <c r="J4" s="82" t="s">
        <v>94</v>
      </c>
      <c r="K4" s="83">
        <v>42227</v>
      </c>
      <c r="L4" s="13" t="s">
        <v>114</v>
      </c>
      <c r="M4" s="99">
        <v>10.7</v>
      </c>
      <c r="N4" s="99">
        <v>4.95</v>
      </c>
      <c r="O4" s="99">
        <v>2.4</v>
      </c>
      <c r="P4" s="99">
        <v>2.2749999999999999</v>
      </c>
      <c r="Q4" s="99">
        <v>2.69259</v>
      </c>
      <c r="R4" s="99">
        <v>17.8</v>
      </c>
      <c r="S4" s="99">
        <v>2.125</v>
      </c>
      <c r="T4" s="99">
        <v>0.3</v>
      </c>
      <c r="U4" s="99">
        <v>0.1</v>
      </c>
      <c r="V4" s="99">
        <v>6.8055399999999997</v>
      </c>
      <c r="W4" s="99">
        <v>0</v>
      </c>
      <c r="X4" s="99">
        <v>0</v>
      </c>
      <c r="Y4" s="99">
        <v>17.754000000000001</v>
      </c>
      <c r="Z4" s="99">
        <v>1.1511499999999999</v>
      </c>
      <c r="AA4" s="100">
        <v>16.510000000000002</v>
      </c>
      <c r="AB4" s="99">
        <v>0</v>
      </c>
      <c r="AC4" s="99">
        <f>(AA4+AB4*0.5)/(3.5*H4*1000)*100</f>
        <v>2.656946523117527E-2</v>
      </c>
      <c r="AD4" s="99">
        <v>0</v>
      </c>
      <c r="AE4" s="99">
        <f>AD4/(3.5*H4*1000)*100</f>
        <v>0</v>
      </c>
      <c r="AF4" s="99">
        <v>255</v>
      </c>
      <c r="AG4" s="99">
        <f t="shared" ref="AG4:AG34" si="0">AF4/(3.5*H4*1000)*100</f>
        <v>0.41037029884613524</v>
      </c>
      <c r="AH4" s="99">
        <v>0</v>
      </c>
      <c r="AI4" s="99">
        <f>AH4/(3.5*H4*1000)*100</f>
        <v>0</v>
      </c>
      <c r="AJ4" s="3"/>
      <c r="AK4" s="3">
        <f>AB4*0.5</f>
        <v>0</v>
      </c>
      <c r="AL4" s="3">
        <f>(AA4+AD4+AF4+AH4+AK4)*H4</f>
        <v>4820.3885399999999</v>
      </c>
      <c r="AM4" s="3">
        <f>SUM(M4:P4)</f>
        <v>20.324999999999996</v>
      </c>
      <c r="AN4" s="3">
        <f t="shared" ref="AN4:AN26" si="1">SUM(R4:U4)</f>
        <v>20.325000000000003</v>
      </c>
      <c r="AP4" s="5"/>
      <c r="AQ4" s="5"/>
      <c r="AR4" s="5"/>
      <c r="AS4" s="5"/>
    </row>
    <row r="5" spans="1:45" s="81" customFormat="1" ht="23.25">
      <c r="A5" s="82" t="s">
        <v>9</v>
      </c>
      <c r="B5" s="82">
        <v>421</v>
      </c>
      <c r="C5" s="25">
        <v>304</v>
      </c>
      <c r="D5" s="82">
        <v>301</v>
      </c>
      <c r="E5" s="82" t="s">
        <v>10</v>
      </c>
      <c r="F5" s="16">
        <v>49884</v>
      </c>
      <c r="G5" s="16">
        <v>67638</v>
      </c>
      <c r="H5" s="44">
        <v>17.754000000000001</v>
      </c>
      <c r="I5" s="34">
        <v>4</v>
      </c>
      <c r="J5" s="82" t="s">
        <v>226</v>
      </c>
      <c r="K5" s="83">
        <v>42227</v>
      </c>
      <c r="L5" s="13" t="s">
        <v>114</v>
      </c>
      <c r="M5" s="99">
        <v>3.75</v>
      </c>
      <c r="N5" s="99">
        <v>5.2</v>
      </c>
      <c r="O5" s="99">
        <v>3.9</v>
      </c>
      <c r="P5" s="99">
        <v>2.5</v>
      </c>
      <c r="Q5" s="99">
        <v>3.62</v>
      </c>
      <c r="R5" s="99">
        <v>14.55</v>
      </c>
      <c r="S5" s="99">
        <v>0.52500000000000002</v>
      </c>
      <c r="T5" s="99">
        <v>0.15</v>
      </c>
      <c r="U5" s="99">
        <v>0.125</v>
      </c>
      <c r="V5" s="99">
        <v>5.62</v>
      </c>
      <c r="W5" s="99">
        <v>0</v>
      </c>
      <c r="X5" s="99">
        <v>0</v>
      </c>
      <c r="Y5" s="99">
        <v>17.754000000000001</v>
      </c>
      <c r="Z5" s="99">
        <v>1.1100000000000001</v>
      </c>
      <c r="AA5" s="100">
        <v>0</v>
      </c>
      <c r="AB5" s="99">
        <v>0</v>
      </c>
      <c r="AC5" s="99">
        <v>0</v>
      </c>
      <c r="AD5" s="99">
        <v>0</v>
      </c>
      <c r="AE5" s="99">
        <v>0</v>
      </c>
      <c r="AF5" s="99">
        <v>28.5</v>
      </c>
      <c r="AG5" s="99">
        <f t="shared" si="0"/>
        <v>4.5864915753391591E-2</v>
      </c>
      <c r="AH5" s="99">
        <v>0</v>
      </c>
      <c r="AI5" s="99">
        <v>0</v>
      </c>
      <c r="AJ5" s="3"/>
      <c r="AK5" s="3"/>
      <c r="AL5" s="3"/>
      <c r="AM5" s="3"/>
      <c r="AN5" s="3"/>
      <c r="AP5" s="5"/>
      <c r="AQ5" s="5"/>
      <c r="AR5" s="5"/>
      <c r="AS5" s="5"/>
    </row>
    <row r="6" spans="1:45" s="81" customFormat="1" ht="23.25">
      <c r="A6" s="82" t="s">
        <v>9</v>
      </c>
      <c r="B6" s="82">
        <v>421</v>
      </c>
      <c r="C6" s="25">
        <v>314</v>
      </c>
      <c r="D6" s="82">
        <v>101</v>
      </c>
      <c r="E6" s="82" t="s">
        <v>11</v>
      </c>
      <c r="F6" s="36">
        <v>0</v>
      </c>
      <c r="G6" s="36">
        <v>7475</v>
      </c>
      <c r="H6" s="44">
        <v>7.4749999999999996</v>
      </c>
      <c r="I6" s="34">
        <v>4</v>
      </c>
      <c r="J6" s="82" t="s">
        <v>226</v>
      </c>
      <c r="K6" s="83">
        <v>42227</v>
      </c>
      <c r="L6" s="13" t="s">
        <v>114</v>
      </c>
      <c r="M6" s="99">
        <v>2.0249999999999999</v>
      </c>
      <c r="N6" s="99">
        <v>2.2999999999999998</v>
      </c>
      <c r="O6" s="99">
        <v>2.375</v>
      </c>
      <c r="P6" s="99">
        <v>0.75</v>
      </c>
      <c r="Q6" s="99">
        <v>3.4941200000000001</v>
      </c>
      <c r="R6" s="99">
        <v>6.95</v>
      </c>
      <c r="S6" s="99">
        <v>0.47499999999999998</v>
      </c>
      <c r="T6" s="99">
        <v>2.5000000000000001E-2</v>
      </c>
      <c r="U6" s="99">
        <v>0</v>
      </c>
      <c r="V6" s="99">
        <v>6.2161400000000002</v>
      </c>
      <c r="W6" s="99">
        <v>0</v>
      </c>
      <c r="X6" s="99">
        <v>0</v>
      </c>
      <c r="Y6" s="99">
        <v>7.4749999999999996</v>
      </c>
      <c r="Z6" s="99">
        <v>1.18516</v>
      </c>
      <c r="AA6" s="100">
        <v>24.31</v>
      </c>
      <c r="AB6" s="99">
        <v>38.53</v>
      </c>
      <c r="AC6" s="99">
        <f t="shared" ref="AC6:AC34" si="2">(AA6+AB6*0.5)/(3.5*H6*1000)*100</f>
        <v>0.16655518394648833</v>
      </c>
      <c r="AD6" s="99">
        <v>29.35</v>
      </c>
      <c r="AE6" s="99">
        <f t="shared" ref="AE6:AE34" si="3">AD6/(3.5*H6*1000)*100</f>
        <v>0.11218346870520786</v>
      </c>
      <c r="AF6" s="99">
        <v>34</v>
      </c>
      <c r="AG6" s="99">
        <f t="shared" si="0"/>
        <v>0.12995699952221695</v>
      </c>
      <c r="AH6" s="99">
        <v>0</v>
      </c>
      <c r="AI6" s="99">
        <f t="shared" ref="AI6:AI34" si="4">AH6/(3.5*H6*1000)*100</f>
        <v>0</v>
      </c>
      <c r="AJ6" s="3"/>
      <c r="AK6" s="3">
        <f t="shared" ref="AK6:AK34" si="5">AB6*0.5</f>
        <v>19.265000000000001</v>
      </c>
      <c r="AL6" s="3">
        <f t="shared" ref="AL6:AL34" si="6">(AA6+AD6+AF6+AH6+AK6)*H6</f>
        <v>799.26437499999997</v>
      </c>
      <c r="AM6" s="3">
        <f t="shared" ref="AM6:AM31" si="7">SUM(M6:P6)</f>
        <v>7.4499999999999993</v>
      </c>
      <c r="AN6" s="3">
        <f t="shared" si="1"/>
        <v>7.45</v>
      </c>
      <c r="AO6" s="4"/>
      <c r="AP6" s="5"/>
      <c r="AQ6" s="5"/>
      <c r="AR6" s="5"/>
      <c r="AS6" s="5"/>
    </row>
    <row r="7" spans="1:45" s="81" customFormat="1" ht="23.25">
      <c r="A7" s="82" t="s">
        <v>9</v>
      </c>
      <c r="B7" s="82">
        <v>421</v>
      </c>
      <c r="C7" s="25">
        <v>314</v>
      </c>
      <c r="D7" s="82">
        <v>101</v>
      </c>
      <c r="E7" s="82" t="s">
        <v>11</v>
      </c>
      <c r="F7" s="36">
        <v>7475</v>
      </c>
      <c r="G7" s="36">
        <v>0</v>
      </c>
      <c r="H7" s="44">
        <v>7.4749999999999996</v>
      </c>
      <c r="I7" s="34">
        <v>4</v>
      </c>
      <c r="J7" s="82" t="s">
        <v>94</v>
      </c>
      <c r="K7" s="83">
        <v>42227</v>
      </c>
      <c r="L7" s="13" t="s">
        <v>114</v>
      </c>
      <c r="M7" s="99">
        <v>1.1000000000000001</v>
      </c>
      <c r="N7" s="99">
        <v>1.75</v>
      </c>
      <c r="O7" s="99">
        <v>2.0499999999999998</v>
      </c>
      <c r="P7" s="99">
        <v>2.5750000000000002</v>
      </c>
      <c r="Q7" s="99">
        <v>4.4801799999999998</v>
      </c>
      <c r="R7" s="99">
        <v>6.35</v>
      </c>
      <c r="S7" s="99">
        <v>0.8</v>
      </c>
      <c r="T7" s="99">
        <v>0.2</v>
      </c>
      <c r="U7" s="99">
        <v>0.125</v>
      </c>
      <c r="V7" s="99">
        <v>7.6209699999999998</v>
      </c>
      <c r="W7" s="99">
        <v>0</v>
      </c>
      <c r="X7" s="99">
        <v>0</v>
      </c>
      <c r="Y7" s="99">
        <v>7.4749999999999996</v>
      </c>
      <c r="Z7" s="99">
        <v>1.4111800000000001</v>
      </c>
      <c r="AA7" s="100">
        <v>0</v>
      </c>
      <c r="AB7" s="99">
        <v>31.71</v>
      </c>
      <c r="AC7" s="99">
        <f t="shared" si="2"/>
        <v>6.0602006688963213E-2</v>
      </c>
      <c r="AD7" s="99">
        <v>25.96</v>
      </c>
      <c r="AE7" s="99">
        <f t="shared" si="3"/>
        <v>9.9225991399904456E-2</v>
      </c>
      <c r="AF7" s="99">
        <v>20</v>
      </c>
      <c r="AG7" s="99">
        <f t="shared" si="0"/>
        <v>7.6445293836598191E-2</v>
      </c>
      <c r="AH7" s="99">
        <v>0</v>
      </c>
      <c r="AI7" s="99">
        <f t="shared" si="4"/>
        <v>0</v>
      </c>
      <c r="AJ7" s="3"/>
      <c r="AK7" s="3">
        <f t="shared" si="5"/>
        <v>15.855</v>
      </c>
      <c r="AL7" s="3">
        <f t="shared" si="6"/>
        <v>462.06712499999998</v>
      </c>
      <c r="AM7" s="3">
        <f t="shared" si="7"/>
        <v>7.4750000000000005</v>
      </c>
      <c r="AN7" s="3">
        <f t="shared" si="1"/>
        <v>7.4749999999999996</v>
      </c>
      <c r="AO7" s="4"/>
      <c r="AP7" s="5"/>
      <c r="AQ7" s="5"/>
      <c r="AR7" s="5"/>
      <c r="AS7" s="5"/>
    </row>
    <row r="8" spans="1:45" s="81" customFormat="1" ht="23.25">
      <c r="A8" s="82" t="s">
        <v>9</v>
      </c>
      <c r="B8" s="82">
        <v>421</v>
      </c>
      <c r="C8" s="25">
        <v>314</v>
      </c>
      <c r="D8" s="82">
        <v>102</v>
      </c>
      <c r="E8" s="82" t="s">
        <v>12</v>
      </c>
      <c r="F8" s="36" t="s">
        <v>115</v>
      </c>
      <c r="G8" s="36" t="s">
        <v>116</v>
      </c>
      <c r="H8" s="44">
        <v>13.025</v>
      </c>
      <c r="I8" s="34">
        <v>4</v>
      </c>
      <c r="J8" s="82" t="s">
        <v>226</v>
      </c>
      <c r="K8" s="83">
        <v>42227</v>
      </c>
      <c r="L8" s="13" t="s">
        <v>114</v>
      </c>
      <c r="M8" s="99">
        <v>6.5250000000000004</v>
      </c>
      <c r="N8" s="99">
        <v>3.3</v>
      </c>
      <c r="O8" s="99">
        <v>2.85</v>
      </c>
      <c r="P8" s="99">
        <v>0.375</v>
      </c>
      <c r="Q8" s="99">
        <v>2.4749400000000001</v>
      </c>
      <c r="R8" s="99">
        <v>12.4</v>
      </c>
      <c r="S8" s="99">
        <v>0.625</v>
      </c>
      <c r="T8" s="99">
        <v>2.5000000000000001E-2</v>
      </c>
      <c r="U8" s="99">
        <v>0</v>
      </c>
      <c r="V8" s="99">
        <v>5.9853399999999999</v>
      </c>
      <c r="W8" s="99">
        <v>0</v>
      </c>
      <c r="X8" s="99">
        <v>0</v>
      </c>
      <c r="Y8" s="99">
        <v>13.025</v>
      </c>
      <c r="Z8" s="99">
        <v>1.3024800000000001</v>
      </c>
      <c r="AA8" s="100">
        <v>0</v>
      </c>
      <c r="AB8" s="99">
        <v>2.8</v>
      </c>
      <c r="AC8" s="99">
        <f t="shared" si="2"/>
        <v>3.0710172744721686E-3</v>
      </c>
      <c r="AD8" s="99">
        <v>0</v>
      </c>
      <c r="AE8" s="99">
        <f t="shared" si="3"/>
        <v>0</v>
      </c>
      <c r="AF8" s="99">
        <v>6</v>
      </c>
      <c r="AG8" s="99">
        <f t="shared" si="0"/>
        <v>1.3161502604880722E-2</v>
      </c>
      <c r="AH8" s="99">
        <v>0</v>
      </c>
      <c r="AI8" s="99">
        <f t="shared" si="4"/>
        <v>0</v>
      </c>
      <c r="AJ8" s="3"/>
      <c r="AK8" s="3">
        <f t="shared" si="5"/>
        <v>1.4</v>
      </c>
      <c r="AL8" s="3">
        <f t="shared" si="6"/>
        <v>96.385000000000005</v>
      </c>
      <c r="AM8" s="3">
        <f t="shared" si="7"/>
        <v>13.049999999999999</v>
      </c>
      <c r="AN8" s="3">
        <f t="shared" si="1"/>
        <v>13.05</v>
      </c>
      <c r="AP8" s="5"/>
      <c r="AQ8" s="5"/>
      <c r="AR8" s="5"/>
      <c r="AS8" s="5"/>
    </row>
    <row r="9" spans="1:45" s="81" customFormat="1" ht="23.25">
      <c r="A9" s="82" t="s">
        <v>9</v>
      </c>
      <c r="B9" s="82">
        <v>421</v>
      </c>
      <c r="C9" s="25">
        <v>314</v>
      </c>
      <c r="D9" s="82">
        <v>102</v>
      </c>
      <c r="E9" s="82" t="s">
        <v>12</v>
      </c>
      <c r="F9" s="36" t="s">
        <v>116</v>
      </c>
      <c r="G9" s="36" t="s">
        <v>115</v>
      </c>
      <c r="H9" s="44">
        <v>13.025</v>
      </c>
      <c r="I9" s="34">
        <v>4</v>
      </c>
      <c r="J9" s="82" t="s">
        <v>94</v>
      </c>
      <c r="K9" s="83">
        <v>42227</v>
      </c>
      <c r="L9" s="13" t="s">
        <v>114</v>
      </c>
      <c r="M9" s="99">
        <v>7.2249999999999996</v>
      </c>
      <c r="N9" s="99">
        <v>2.4</v>
      </c>
      <c r="O9" s="99">
        <v>3.125</v>
      </c>
      <c r="P9" s="99">
        <v>0.27500000000000002</v>
      </c>
      <c r="Q9" s="99">
        <v>2.39758</v>
      </c>
      <c r="R9" s="99">
        <v>12.425000000000001</v>
      </c>
      <c r="S9" s="99">
        <v>0.47499999999999998</v>
      </c>
      <c r="T9" s="99">
        <v>0.125</v>
      </c>
      <c r="U9" s="99">
        <v>0</v>
      </c>
      <c r="V9" s="99">
        <v>5.5003399999999996</v>
      </c>
      <c r="W9" s="99">
        <v>0</v>
      </c>
      <c r="X9" s="99">
        <v>0</v>
      </c>
      <c r="Y9" s="99">
        <v>13.025</v>
      </c>
      <c r="Z9" s="99">
        <v>1.2718499999999999</v>
      </c>
      <c r="AA9" s="100">
        <v>0</v>
      </c>
      <c r="AB9" s="99">
        <v>0</v>
      </c>
      <c r="AC9" s="99">
        <f t="shared" si="2"/>
        <v>0</v>
      </c>
      <c r="AD9" s="99">
        <v>0</v>
      </c>
      <c r="AE9" s="99">
        <f t="shared" si="3"/>
        <v>0</v>
      </c>
      <c r="AF9" s="99">
        <v>7</v>
      </c>
      <c r="AG9" s="99">
        <f t="shared" si="0"/>
        <v>1.5355086372360844E-2</v>
      </c>
      <c r="AH9" s="99">
        <v>0</v>
      </c>
      <c r="AI9" s="99">
        <f t="shared" si="4"/>
        <v>0</v>
      </c>
      <c r="AJ9" s="3"/>
      <c r="AK9" s="3">
        <f t="shared" si="5"/>
        <v>0</v>
      </c>
      <c r="AL9" s="3">
        <f t="shared" si="6"/>
        <v>91.174999999999997</v>
      </c>
      <c r="AM9" s="3">
        <f t="shared" si="7"/>
        <v>13.025</v>
      </c>
      <c r="AN9" s="3">
        <f t="shared" si="1"/>
        <v>13.025</v>
      </c>
      <c r="AP9" s="5"/>
      <c r="AQ9" s="5"/>
      <c r="AR9" s="5"/>
      <c r="AS9" s="5"/>
    </row>
    <row r="10" spans="1:45" s="81" customFormat="1" ht="23.25">
      <c r="A10" s="82" t="s">
        <v>9</v>
      </c>
      <c r="B10" s="82">
        <v>421</v>
      </c>
      <c r="C10" s="25">
        <v>315</v>
      </c>
      <c r="D10" s="82">
        <v>100</v>
      </c>
      <c r="E10" s="82" t="s">
        <v>13</v>
      </c>
      <c r="F10" s="36">
        <v>0</v>
      </c>
      <c r="G10" s="36">
        <v>10880</v>
      </c>
      <c r="H10" s="44">
        <v>10.88</v>
      </c>
      <c r="I10" s="34">
        <v>6</v>
      </c>
      <c r="J10" s="82" t="s">
        <v>226</v>
      </c>
      <c r="K10" s="83">
        <v>42226</v>
      </c>
      <c r="L10" s="13" t="s">
        <v>114</v>
      </c>
      <c r="M10" s="99">
        <v>3.0750000000000002</v>
      </c>
      <c r="N10" s="99">
        <v>2.5499999999999998</v>
      </c>
      <c r="O10" s="99">
        <v>2.125</v>
      </c>
      <c r="P10" s="99">
        <v>3.15</v>
      </c>
      <c r="Q10" s="99">
        <v>4.1990999999999996</v>
      </c>
      <c r="R10" s="99">
        <v>4.7</v>
      </c>
      <c r="S10" s="99">
        <v>2.0249999999999999</v>
      </c>
      <c r="T10" s="99">
        <v>1.2250000000000001</v>
      </c>
      <c r="U10" s="99">
        <v>2.95</v>
      </c>
      <c r="V10" s="99">
        <v>14.9702</v>
      </c>
      <c r="W10" s="99">
        <v>0</v>
      </c>
      <c r="X10" s="99">
        <v>0</v>
      </c>
      <c r="Y10" s="99">
        <v>10.88</v>
      </c>
      <c r="Z10" s="99">
        <v>1.28931</v>
      </c>
      <c r="AA10" s="100">
        <v>1129.77</v>
      </c>
      <c r="AB10" s="99">
        <v>0</v>
      </c>
      <c r="AC10" s="99">
        <f t="shared" si="2"/>
        <v>2.9668329831932767</v>
      </c>
      <c r="AD10" s="99">
        <v>76.12</v>
      </c>
      <c r="AE10" s="99">
        <f t="shared" si="3"/>
        <v>0.19989495798319323</v>
      </c>
      <c r="AF10" s="99">
        <v>563</v>
      </c>
      <c r="AG10" s="99">
        <f t="shared" si="0"/>
        <v>1.4784663865546217</v>
      </c>
      <c r="AH10" s="99">
        <v>0</v>
      </c>
      <c r="AI10" s="99">
        <f t="shared" si="4"/>
        <v>0</v>
      </c>
      <c r="AJ10" s="3"/>
      <c r="AK10" s="3">
        <f t="shared" si="5"/>
        <v>0</v>
      </c>
      <c r="AL10" s="3">
        <f t="shared" si="6"/>
        <v>19245.5232</v>
      </c>
      <c r="AM10" s="3">
        <f t="shared" si="7"/>
        <v>10.9</v>
      </c>
      <c r="AN10" s="3">
        <f t="shared" si="1"/>
        <v>10.899999999999999</v>
      </c>
      <c r="AP10" s="5"/>
      <c r="AQ10" s="5"/>
      <c r="AR10" s="5"/>
      <c r="AS10" s="5"/>
    </row>
    <row r="11" spans="1:45" s="81" customFormat="1" ht="23.25">
      <c r="A11" s="82" t="s">
        <v>9</v>
      </c>
      <c r="B11" s="82">
        <v>421</v>
      </c>
      <c r="C11" s="25">
        <v>315</v>
      </c>
      <c r="D11" s="82">
        <v>100</v>
      </c>
      <c r="E11" s="82" t="s">
        <v>13</v>
      </c>
      <c r="F11" s="36">
        <v>10880</v>
      </c>
      <c r="G11" s="36">
        <v>0</v>
      </c>
      <c r="H11" s="44">
        <v>10.88</v>
      </c>
      <c r="I11" s="34">
        <v>6</v>
      </c>
      <c r="J11" s="82" t="s">
        <v>94</v>
      </c>
      <c r="K11" s="83">
        <v>42226</v>
      </c>
      <c r="L11" s="13" t="s">
        <v>114</v>
      </c>
      <c r="M11" s="99">
        <v>1.675</v>
      </c>
      <c r="N11" s="99">
        <v>3.2</v>
      </c>
      <c r="O11" s="99">
        <v>2.875</v>
      </c>
      <c r="P11" s="99">
        <v>3.15</v>
      </c>
      <c r="Q11" s="99">
        <v>4.3558199999999996</v>
      </c>
      <c r="R11" s="99">
        <v>2.5499999999999998</v>
      </c>
      <c r="S11" s="99">
        <v>2.2250000000000001</v>
      </c>
      <c r="T11" s="99">
        <v>1.425</v>
      </c>
      <c r="U11" s="99">
        <v>4.7</v>
      </c>
      <c r="V11" s="99">
        <v>22.648</v>
      </c>
      <c r="W11" s="99">
        <v>0</v>
      </c>
      <c r="X11" s="99">
        <v>0</v>
      </c>
      <c r="Y11" s="99">
        <v>10.88</v>
      </c>
      <c r="Z11" s="99">
        <v>1.3080099999999999</v>
      </c>
      <c r="AA11" s="100">
        <v>1375.38</v>
      </c>
      <c r="AB11" s="99">
        <v>0</v>
      </c>
      <c r="AC11" s="99">
        <f t="shared" si="2"/>
        <v>3.6118172268907558</v>
      </c>
      <c r="AD11" s="99">
        <v>227.96</v>
      </c>
      <c r="AE11" s="99">
        <f t="shared" si="3"/>
        <v>0.59863445378151248</v>
      </c>
      <c r="AF11" s="99">
        <v>462</v>
      </c>
      <c r="AG11" s="99">
        <f t="shared" si="0"/>
        <v>1.213235294117647</v>
      </c>
      <c r="AH11" s="99">
        <v>0</v>
      </c>
      <c r="AI11" s="99">
        <f t="shared" si="4"/>
        <v>0</v>
      </c>
      <c r="AJ11" s="3"/>
      <c r="AK11" s="3">
        <f t="shared" si="5"/>
        <v>0</v>
      </c>
      <c r="AL11" s="3">
        <f t="shared" si="6"/>
        <v>22470.899200000003</v>
      </c>
      <c r="AM11" s="3">
        <f t="shared" si="7"/>
        <v>10.9</v>
      </c>
      <c r="AN11" s="3">
        <f t="shared" si="1"/>
        <v>10.9</v>
      </c>
      <c r="AP11" s="5"/>
      <c r="AQ11" s="5"/>
      <c r="AR11" s="5"/>
      <c r="AS11" s="5"/>
    </row>
    <row r="12" spans="1:45" s="81" customFormat="1" ht="23.25">
      <c r="A12" s="82" t="s">
        <v>9</v>
      </c>
      <c r="B12" s="82">
        <v>421</v>
      </c>
      <c r="C12" s="25">
        <v>319</v>
      </c>
      <c r="D12" s="82">
        <v>200</v>
      </c>
      <c r="E12" s="82" t="s">
        <v>14</v>
      </c>
      <c r="F12" s="36">
        <v>38238</v>
      </c>
      <c r="G12" s="36">
        <v>48064</v>
      </c>
      <c r="H12" s="44">
        <v>9.8260000000000005</v>
      </c>
      <c r="I12" s="34">
        <v>2</v>
      </c>
      <c r="J12" s="82" t="s">
        <v>95</v>
      </c>
      <c r="K12" s="83">
        <v>42226</v>
      </c>
      <c r="L12" s="13" t="s">
        <v>114</v>
      </c>
      <c r="M12" s="99">
        <v>8.2249999999999996</v>
      </c>
      <c r="N12" s="99">
        <v>1.2</v>
      </c>
      <c r="O12" s="99">
        <v>0.2</v>
      </c>
      <c r="P12" s="99">
        <v>0.2</v>
      </c>
      <c r="Q12" s="99">
        <v>1.9795400000000001</v>
      </c>
      <c r="R12" s="99">
        <v>7.875</v>
      </c>
      <c r="S12" s="99">
        <v>1.05</v>
      </c>
      <c r="T12" s="99">
        <v>0.65</v>
      </c>
      <c r="U12" s="99">
        <v>0.25</v>
      </c>
      <c r="V12" s="99">
        <v>7.71671</v>
      </c>
      <c r="W12" s="99">
        <v>0</v>
      </c>
      <c r="X12" s="99">
        <v>0</v>
      </c>
      <c r="Y12" s="99">
        <v>9.8260000000000005</v>
      </c>
      <c r="Z12" s="99">
        <v>1.13117</v>
      </c>
      <c r="AA12" s="100">
        <v>4.84</v>
      </c>
      <c r="AB12" s="99">
        <v>5.08</v>
      </c>
      <c r="AC12" s="99">
        <f t="shared" si="2"/>
        <v>2.1459102672210746E-2</v>
      </c>
      <c r="AD12" s="99">
        <v>0.28000000000000003</v>
      </c>
      <c r="AE12" s="99">
        <f t="shared" si="3"/>
        <v>8.1416649704864634E-4</v>
      </c>
      <c r="AF12" s="99">
        <v>81</v>
      </c>
      <c r="AG12" s="99">
        <f t="shared" si="0"/>
        <v>0.23552673664621551</v>
      </c>
      <c r="AH12" s="99">
        <v>0</v>
      </c>
      <c r="AI12" s="99">
        <f t="shared" si="4"/>
        <v>0</v>
      </c>
      <c r="AJ12" s="3"/>
      <c r="AK12" s="3">
        <f t="shared" si="5"/>
        <v>2.54</v>
      </c>
      <c r="AL12" s="3">
        <f t="shared" si="6"/>
        <v>871.17316000000017</v>
      </c>
      <c r="AM12" s="3">
        <f t="shared" si="7"/>
        <v>9.8249999999999975</v>
      </c>
      <c r="AN12" s="3">
        <f t="shared" si="1"/>
        <v>9.8250000000000011</v>
      </c>
      <c r="AP12" s="5"/>
      <c r="AQ12" s="5"/>
      <c r="AR12" s="5"/>
      <c r="AS12" s="5"/>
    </row>
    <row r="13" spans="1:45" s="81" customFormat="1" ht="23.25">
      <c r="A13" s="82" t="s">
        <v>9</v>
      </c>
      <c r="B13" s="82">
        <v>421</v>
      </c>
      <c r="C13" s="25">
        <v>365</v>
      </c>
      <c r="D13" s="82">
        <v>101</v>
      </c>
      <c r="E13" s="82" t="s">
        <v>15</v>
      </c>
      <c r="F13" s="36">
        <v>0</v>
      </c>
      <c r="G13" s="36">
        <v>5886</v>
      </c>
      <c r="H13" s="44">
        <v>5.8860000000000001</v>
      </c>
      <c r="I13" s="34">
        <v>2</v>
      </c>
      <c r="J13" s="82" t="s">
        <v>227</v>
      </c>
      <c r="K13" s="83">
        <v>42227</v>
      </c>
      <c r="L13" s="13" t="s">
        <v>114</v>
      </c>
      <c r="M13" s="99">
        <v>3.875</v>
      </c>
      <c r="N13" s="99">
        <v>1.3</v>
      </c>
      <c r="O13" s="99">
        <v>0.4</v>
      </c>
      <c r="P13" s="99">
        <v>0.35</v>
      </c>
      <c r="Q13" s="99">
        <v>2.5343499999999999</v>
      </c>
      <c r="R13" s="99">
        <v>5.7</v>
      </c>
      <c r="S13" s="99">
        <v>0.15</v>
      </c>
      <c r="T13" s="99">
        <v>0.05</v>
      </c>
      <c r="U13" s="99">
        <v>2.5000000000000001E-2</v>
      </c>
      <c r="V13" s="99">
        <v>5.4216199999999999</v>
      </c>
      <c r="W13" s="99">
        <v>0</v>
      </c>
      <c r="X13" s="99">
        <v>0</v>
      </c>
      <c r="Y13" s="99">
        <v>5.8860000000000001</v>
      </c>
      <c r="Z13" s="99">
        <v>1.1103799999999999</v>
      </c>
      <c r="AA13" s="100">
        <v>0</v>
      </c>
      <c r="AB13" s="99">
        <v>0</v>
      </c>
      <c r="AC13" s="99">
        <f t="shared" si="2"/>
        <v>0</v>
      </c>
      <c r="AD13" s="99">
        <v>15.7</v>
      </c>
      <c r="AE13" s="99">
        <f t="shared" si="3"/>
        <v>7.6209892723654193E-2</v>
      </c>
      <c r="AF13" s="99">
        <v>164</v>
      </c>
      <c r="AG13" s="99">
        <f t="shared" si="0"/>
        <v>0.79607786029804384</v>
      </c>
      <c r="AH13" s="99">
        <v>0</v>
      </c>
      <c r="AI13" s="99">
        <f t="shared" si="4"/>
        <v>0</v>
      </c>
      <c r="AJ13" s="3"/>
      <c r="AK13" s="3">
        <f t="shared" si="5"/>
        <v>0</v>
      </c>
      <c r="AL13" s="3">
        <f t="shared" si="6"/>
        <v>1057.7141999999999</v>
      </c>
      <c r="AM13" s="3">
        <f t="shared" si="7"/>
        <v>5.9249999999999998</v>
      </c>
      <c r="AN13" s="3">
        <f t="shared" si="1"/>
        <v>5.9250000000000007</v>
      </c>
      <c r="AP13" s="5"/>
      <c r="AQ13" s="5"/>
      <c r="AR13" s="5"/>
      <c r="AS13" s="5"/>
    </row>
    <row r="14" spans="1:45" s="81" customFormat="1" ht="23.25">
      <c r="A14" s="82" t="s">
        <v>9</v>
      </c>
      <c r="B14" s="82">
        <v>421</v>
      </c>
      <c r="C14" s="25">
        <v>3076</v>
      </c>
      <c r="D14" s="82">
        <v>301</v>
      </c>
      <c r="E14" s="82" t="s">
        <v>16</v>
      </c>
      <c r="F14" s="36">
        <v>43521</v>
      </c>
      <c r="G14" s="36">
        <v>58921</v>
      </c>
      <c r="H14" s="44">
        <v>15.4</v>
      </c>
      <c r="I14" s="34">
        <v>2</v>
      </c>
      <c r="J14" s="82" t="s">
        <v>227</v>
      </c>
      <c r="K14" s="83">
        <v>42226</v>
      </c>
      <c r="L14" s="13" t="s">
        <v>114</v>
      </c>
      <c r="M14" s="99">
        <v>12.43</v>
      </c>
      <c r="N14" s="99">
        <v>1.9</v>
      </c>
      <c r="O14" s="99">
        <v>0.77500000000000002</v>
      </c>
      <c r="P14" s="99">
        <v>0.27500000000000002</v>
      </c>
      <c r="Q14" s="99">
        <v>2.4900899999999999</v>
      </c>
      <c r="R14" s="99">
        <v>7.9</v>
      </c>
      <c r="S14" s="99">
        <v>4.7249999999999996</v>
      </c>
      <c r="T14" s="99">
        <v>1.675</v>
      </c>
      <c r="U14" s="99">
        <v>1.075</v>
      </c>
      <c r="V14" s="99">
        <v>9.3908799999999992</v>
      </c>
      <c r="W14" s="99">
        <v>0</v>
      </c>
      <c r="X14" s="99">
        <v>0</v>
      </c>
      <c r="Y14" s="99">
        <v>15.4</v>
      </c>
      <c r="Z14" s="99">
        <v>1.17178</v>
      </c>
      <c r="AA14" s="100">
        <v>26.77</v>
      </c>
      <c r="AB14" s="99">
        <v>14.36</v>
      </c>
      <c r="AC14" s="99">
        <f t="shared" si="2"/>
        <v>6.2987012987012994E-2</v>
      </c>
      <c r="AD14" s="99">
        <v>0</v>
      </c>
      <c r="AE14" s="99">
        <f t="shared" si="3"/>
        <v>0</v>
      </c>
      <c r="AF14" s="99">
        <v>107</v>
      </c>
      <c r="AG14" s="99">
        <f t="shared" si="0"/>
        <v>0.19851576994434136</v>
      </c>
      <c r="AH14" s="99">
        <v>0</v>
      </c>
      <c r="AI14" s="99">
        <f t="shared" si="4"/>
        <v>0</v>
      </c>
      <c r="AJ14" s="3"/>
      <c r="AK14" s="3">
        <f t="shared" si="5"/>
        <v>7.18</v>
      </c>
      <c r="AL14" s="3">
        <f t="shared" si="6"/>
        <v>2170.63</v>
      </c>
      <c r="AM14" s="3">
        <f t="shared" si="7"/>
        <v>15.38</v>
      </c>
      <c r="AN14" s="3">
        <f t="shared" si="1"/>
        <v>15.375</v>
      </c>
      <c r="AP14" s="5"/>
      <c r="AQ14" s="5"/>
      <c r="AR14" s="5"/>
      <c r="AS14" s="5"/>
    </row>
    <row r="15" spans="1:45" s="81" customFormat="1" ht="23.25">
      <c r="A15" s="82" t="s">
        <v>9</v>
      </c>
      <c r="B15" s="82">
        <v>421</v>
      </c>
      <c r="C15" s="25">
        <v>3076</v>
      </c>
      <c r="D15" s="82">
        <v>302</v>
      </c>
      <c r="E15" s="82" t="s">
        <v>17</v>
      </c>
      <c r="F15" s="36" t="s">
        <v>120</v>
      </c>
      <c r="G15" s="36" t="s">
        <v>133</v>
      </c>
      <c r="H15" s="44">
        <v>94.760999999999996</v>
      </c>
      <c r="I15" s="34">
        <v>2</v>
      </c>
      <c r="J15" s="82" t="s">
        <v>227</v>
      </c>
      <c r="K15" s="83">
        <v>42226</v>
      </c>
      <c r="L15" s="13" t="s">
        <v>114</v>
      </c>
      <c r="M15" s="99">
        <v>49.774999999999999</v>
      </c>
      <c r="N15" s="99">
        <v>24.4</v>
      </c>
      <c r="O15" s="99">
        <v>12.6</v>
      </c>
      <c r="P15" s="99">
        <v>7.75</v>
      </c>
      <c r="Q15" s="99">
        <v>2.6779999999999999</v>
      </c>
      <c r="R15" s="99">
        <v>74.825000000000003</v>
      </c>
      <c r="S15" s="99">
        <v>8.5749999999999993</v>
      </c>
      <c r="T15" s="99">
        <v>2.8250000000000002</v>
      </c>
      <c r="U15" s="99">
        <v>8.3000000000000007</v>
      </c>
      <c r="V15" s="99">
        <v>25.817</v>
      </c>
      <c r="W15" s="99">
        <v>0</v>
      </c>
      <c r="X15" s="99">
        <v>0</v>
      </c>
      <c r="Y15" s="99">
        <v>94.760999999999996</v>
      </c>
      <c r="Z15" s="99">
        <v>1.0820000000000001</v>
      </c>
      <c r="AA15" s="100">
        <v>41.84</v>
      </c>
      <c r="AB15" s="99">
        <v>1.1100000000000001</v>
      </c>
      <c r="AC15" s="99">
        <f t="shared" si="2"/>
        <v>1.2782534104596979E-2</v>
      </c>
      <c r="AD15" s="99">
        <v>0</v>
      </c>
      <c r="AE15" s="99">
        <f t="shared" si="3"/>
        <v>0</v>
      </c>
      <c r="AF15" s="99">
        <v>389</v>
      </c>
      <c r="AG15" s="99">
        <f t="shared" si="0"/>
        <v>0.11728755199170242</v>
      </c>
      <c r="AH15" s="99">
        <v>0</v>
      </c>
      <c r="AI15" s="99">
        <f t="shared" si="4"/>
        <v>0</v>
      </c>
      <c r="AJ15" s="3"/>
      <c r="AK15" s="3">
        <f t="shared" si="5"/>
        <v>0.55500000000000005</v>
      </c>
      <c r="AL15" s="3">
        <f t="shared" si="6"/>
        <v>40879.421595</v>
      </c>
      <c r="AM15" s="3">
        <f t="shared" si="7"/>
        <v>94.524999999999991</v>
      </c>
      <c r="AN15" s="3">
        <f t="shared" si="1"/>
        <v>94.525000000000006</v>
      </c>
      <c r="AP15" s="5"/>
      <c r="AQ15" s="5"/>
      <c r="AR15" s="5"/>
      <c r="AS15" s="5"/>
    </row>
    <row r="16" spans="1:45" s="81" customFormat="1" ht="23.25">
      <c r="A16" s="82" t="s">
        <v>9</v>
      </c>
      <c r="B16" s="82">
        <v>421</v>
      </c>
      <c r="C16" s="25">
        <v>3121</v>
      </c>
      <c r="D16" s="82">
        <v>100</v>
      </c>
      <c r="E16" s="82" t="s">
        <v>18</v>
      </c>
      <c r="F16" s="36">
        <v>17813</v>
      </c>
      <c r="G16" s="36">
        <v>0</v>
      </c>
      <c r="H16" s="44">
        <v>17.812999999999999</v>
      </c>
      <c r="I16" s="34">
        <v>2</v>
      </c>
      <c r="J16" s="82" t="s">
        <v>95</v>
      </c>
      <c r="K16" s="83">
        <v>42226</v>
      </c>
      <c r="L16" s="13" t="s">
        <v>114</v>
      </c>
      <c r="M16" s="99">
        <v>10.130000000000001</v>
      </c>
      <c r="N16" s="99">
        <v>3.05</v>
      </c>
      <c r="O16" s="99">
        <v>2</v>
      </c>
      <c r="P16" s="99">
        <v>2.75</v>
      </c>
      <c r="Q16" s="99">
        <v>2.9608599999999998</v>
      </c>
      <c r="R16" s="99">
        <v>7.9749999999999996</v>
      </c>
      <c r="S16" s="99">
        <v>2.375</v>
      </c>
      <c r="T16" s="99">
        <v>1.65</v>
      </c>
      <c r="U16" s="99">
        <v>5.9249999999999998</v>
      </c>
      <c r="V16" s="99">
        <v>18.722100000000001</v>
      </c>
      <c r="W16" s="99">
        <v>0</v>
      </c>
      <c r="X16" s="99">
        <v>0</v>
      </c>
      <c r="Y16" s="99">
        <v>17.812999999999999</v>
      </c>
      <c r="Z16" s="99">
        <v>1.13361</v>
      </c>
      <c r="AA16" s="100">
        <v>708.91</v>
      </c>
      <c r="AB16" s="99">
        <v>5.33</v>
      </c>
      <c r="AC16" s="99">
        <f t="shared" si="2"/>
        <v>1.1413413959307408</v>
      </c>
      <c r="AD16" s="99">
        <v>294.95999999999998</v>
      </c>
      <c r="AE16" s="99">
        <f t="shared" si="3"/>
        <v>0.47310551683762264</v>
      </c>
      <c r="AF16" s="99">
        <v>786</v>
      </c>
      <c r="AG16" s="99">
        <f t="shared" si="0"/>
        <v>1.2607164911661628</v>
      </c>
      <c r="AH16" s="99">
        <v>0</v>
      </c>
      <c r="AI16" s="99">
        <f t="shared" si="4"/>
        <v>0</v>
      </c>
      <c r="AJ16" s="3"/>
      <c r="AK16" s="3">
        <f t="shared" si="5"/>
        <v>2.665</v>
      </c>
      <c r="AL16" s="3">
        <f t="shared" si="6"/>
        <v>31930.425954999995</v>
      </c>
      <c r="AM16" s="3">
        <f t="shared" si="7"/>
        <v>17.93</v>
      </c>
      <c r="AN16" s="3">
        <f t="shared" si="1"/>
        <v>17.925000000000001</v>
      </c>
      <c r="AP16" s="5"/>
      <c r="AQ16" s="5"/>
      <c r="AR16" s="5"/>
      <c r="AS16" s="5"/>
    </row>
    <row r="17" spans="1:45" s="81" customFormat="1" ht="23.25">
      <c r="A17" s="82" t="s">
        <v>9</v>
      </c>
      <c r="B17" s="82">
        <v>421</v>
      </c>
      <c r="C17" s="25">
        <v>3124</v>
      </c>
      <c r="D17" s="82">
        <v>100</v>
      </c>
      <c r="E17" s="82" t="s">
        <v>19</v>
      </c>
      <c r="F17" s="36">
        <v>0</v>
      </c>
      <c r="G17" s="36">
        <v>9006</v>
      </c>
      <c r="H17" s="44">
        <v>9.0060000000000002</v>
      </c>
      <c r="I17" s="34">
        <v>2</v>
      </c>
      <c r="J17" s="82" t="s">
        <v>227</v>
      </c>
      <c r="K17" s="83">
        <v>42227</v>
      </c>
      <c r="L17" s="13" t="s">
        <v>114</v>
      </c>
      <c r="M17" s="99">
        <v>4.3499999999999996</v>
      </c>
      <c r="N17" s="99">
        <v>2.1749999999999998</v>
      </c>
      <c r="O17" s="99">
        <v>1.6</v>
      </c>
      <c r="P17" s="99">
        <v>0.9</v>
      </c>
      <c r="Q17" s="99">
        <v>2.9851299999999998</v>
      </c>
      <c r="R17" s="99">
        <v>7.6</v>
      </c>
      <c r="S17" s="99">
        <v>1.05</v>
      </c>
      <c r="T17" s="99">
        <v>0.25</v>
      </c>
      <c r="U17" s="99">
        <v>0.125</v>
      </c>
      <c r="V17" s="99">
        <v>7.4853199999999998</v>
      </c>
      <c r="W17" s="99">
        <v>0</v>
      </c>
      <c r="X17" s="99">
        <v>0</v>
      </c>
      <c r="Y17" s="99">
        <v>9.0060000000000002</v>
      </c>
      <c r="Z17" s="99">
        <v>1.1804600000000001</v>
      </c>
      <c r="AA17" s="100">
        <v>321.94</v>
      </c>
      <c r="AB17" s="99">
        <v>28.8</v>
      </c>
      <c r="AC17" s="99">
        <f t="shared" si="2"/>
        <v>1.0670346752958344</v>
      </c>
      <c r="AD17" s="99">
        <v>5.83</v>
      </c>
      <c r="AE17" s="99">
        <f t="shared" si="3"/>
        <v>1.8495606103867263E-2</v>
      </c>
      <c r="AF17" s="99">
        <v>129</v>
      </c>
      <c r="AG17" s="99">
        <f t="shared" si="0"/>
        <v>0.40925097554011614</v>
      </c>
      <c r="AH17" s="99">
        <v>1.93</v>
      </c>
      <c r="AI17" s="99">
        <f t="shared" si="4"/>
        <v>6.1229021921893343E-3</v>
      </c>
      <c r="AJ17" s="3"/>
      <c r="AK17" s="3">
        <f t="shared" si="5"/>
        <v>14.4</v>
      </c>
      <c r="AL17" s="3">
        <f t="shared" si="6"/>
        <v>4260.7385999999997</v>
      </c>
      <c r="AM17" s="3">
        <f t="shared" si="7"/>
        <v>9.0250000000000004</v>
      </c>
      <c r="AN17" s="3">
        <f t="shared" si="1"/>
        <v>9.0250000000000004</v>
      </c>
      <c r="AP17" s="5"/>
      <c r="AQ17" s="5"/>
      <c r="AR17" s="5"/>
      <c r="AS17" s="5"/>
    </row>
    <row r="18" spans="1:45" s="81" customFormat="1" ht="23.25">
      <c r="A18" s="82" t="s">
        <v>9</v>
      </c>
      <c r="B18" s="82">
        <v>421</v>
      </c>
      <c r="C18" s="25">
        <v>3245</v>
      </c>
      <c r="D18" s="82">
        <v>400</v>
      </c>
      <c r="E18" s="82" t="s">
        <v>20</v>
      </c>
      <c r="F18" s="36">
        <v>81317</v>
      </c>
      <c r="G18" s="36">
        <v>92292</v>
      </c>
      <c r="H18" s="44">
        <v>10.975</v>
      </c>
      <c r="I18" s="34">
        <v>2</v>
      </c>
      <c r="J18" s="82" t="s">
        <v>227</v>
      </c>
      <c r="K18" s="83">
        <v>42226</v>
      </c>
      <c r="L18" s="13" t="s">
        <v>114</v>
      </c>
      <c r="M18" s="99">
        <v>2.7</v>
      </c>
      <c r="N18" s="99">
        <v>4.2</v>
      </c>
      <c r="O18" s="99">
        <v>2.3250000000000002</v>
      </c>
      <c r="P18" s="99">
        <v>1.75</v>
      </c>
      <c r="Q18" s="99">
        <v>3.6799300000000001</v>
      </c>
      <c r="R18" s="99">
        <v>8.4749999999999996</v>
      </c>
      <c r="S18" s="99">
        <v>1.825</v>
      </c>
      <c r="T18" s="99">
        <v>0.45</v>
      </c>
      <c r="U18" s="99">
        <v>0.22500000000000001</v>
      </c>
      <c r="V18" s="99">
        <v>7.2781099999999999</v>
      </c>
      <c r="W18" s="99">
        <v>0</v>
      </c>
      <c r="X18" s="99">
        <v>0</v>
      </c>
      <c r="Y18" s="99">
        <v>10.975</v>
      </c>
      <c r="Z18" s="99">
        <v>1.3354699999999999</v>
      </c>
      <c r="AA18" s="100">
        <v>800.99</v>
      </c>
      <c r="AB18" s="99">
        <v>0</v>
      </c>
      <c r="AC18" s="99">
        <f t="shared" si="2"/>
        <v>2.0852326716563621</v>
      </c>
      <c r="AD18" s="99">
        <v>0</v>
      </c>
      <c r="AE18" s="99">
        <f t="shared" si="3"/>
        <v>0</v>
      </c>
      <c r="AF18" s="99">
        <v>416</v>
      </c>
      <c r="AG18" s="99">
        <f t="shared" si="0"/>
        <v>1.0829808005206638</v>
      </c>
      <c r="AH18" s="99">
        <v>0</v>
      </c>
      <c r="AI18" s="99">
        <f t="shared" si="4"/>
        <v>0</v>
      </c>
      <c r="AJ18" s="3"/>
      <c r="AK18" s="3">
        <f t="shared" si="5"/>
        <v>0</v>
      </c>
      <c r="AL18" s="3">
        <f t="shared" si="6"/>
        <v>13356.465249999999</v>
      </c>
      <c r="AM18" s="3">
        <f t="shared" si="7"/>
        <v>10.975000000000001</v>
      </c>
      <c r="AN18" s="3">
        <f t="shared" si="1"/>
        <v>10.974999999999998</v>
      </c>
      <c r="AP18" s="5"/>
      <c r="AQ18" s="5"/>
      <c r="AR18" s="5"/>
      <c r="AS18" s="5"/>
    </row>
    <row r="19" spans="1:45" s="117" customFormat="1" ht="23.25">
      <c r="A19" s="142" t="s">
        <v>9</v>
      </c>
      <c r="B19" s="142">
        <v>421</v>
      </c>
      <c r="C19" s="26">
        <v>3259</v>
      </c>
      <c r="D19" s="142">
        <v>100</v>
      </c>
      <c r="E19" s="142" t="s">
        <v>268</v>
      </c>
      <c r="F19" s="119">
        <v>4400</v>
      </c>
      <c r="G19" s="119">
        <v>0</v>
      </c>
      <c r="H19" s="170">
        <v>2.4</v>
      </c>
      <c r="I19" s="142">
        <v>2</v>
      </c>
      <c r="J19" s="142" t="s">
        <v>95</v>
      </c>
      <c r="K19" s="141">
        <v>42226</v>
      </c>
      <c r="L19" s="142" t="s">
        <v>114</v>
      </c>
      <c r="M19" s="120">
        <f>1925/1000</f>
        <v>1.925</v>
      </c>
      <c r="N19" s="147">
        <f>750/1000</f>
        <v>0.75</v>
      </c>
      <c r="O19" s="147">
        <f>450/1000</f>
        <v>0.45</v>
      </c>
      <c r="P19" s="147">
        <f>450/1000</f>
        <v>0.45</v>
      </c>
      <c r="Q19" s="147">
        <v>3.4748299999999999</v>
      </c>
      <c r="R19" s="147">
        <f>3200/1000</f>
        <v>3.2</v>
      </c>
      <c r="S19" s="147">
        <f>250/1000</f>
        <v>0.25</v>
      </c>
      <c r="T19" s="147">
        <f>75/1000</f>
        <v>7.4999999999999997E-2</v>
      </c>
      <c r="U19" s="147">
        <f>50/1000</f>
        <v>0.05</v>
      </c>
      <c r="V19" s="147">
        <v>5.2013299999999996</v>
      </c>
      <c r="W19" s="147">
        <v>0</v>
      </c>
      <c r="X19" s="147">
        <v>0</v>
      </c>
      <c r="Y19" s="147">
        <v>2.2999999999999998</v>
      </c>
      <c r="Z19" s="147">
        <v>1.2867999999999999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38"/>
      <c r="AK19" s="138"/>
      <c r="AL19" s="138"/>
      <c r="AM19" s="138"/>
      <c r="AN19" s="138"/>
      <c r="AP19" s="5"/>
      <c r="AQ19" s="5"/>
      <c r="AR19" s="5"/>
      <c r="AS19" s="5"/>
    </row>
    <row r="20" spans="1:45" s="117" customFormat="1" ht="23.25">
      <c r="A20" s="142" t="s">
        <v>9</v>
      </c>
      <c r="B20" s="142">
        <v>421</v>
      </c>
      <c r="C20" s="26">
        <v>3259</v>
      </c>
      <c r="D20" s="142">
        <v>100</v>
      </c>
      <c r="E20" s="142" t="s">
        <v>268</v>
      </c>
      <c r="F20" s="119">
        <v>8006</v>
      </c>
      <c r="G20" s="119">
        <v>4400</v>
      </c>
      <c r="H20" s="170">
        <v>3.6059999999999999</v>
      </c>
      <c r="I20" s="142">
        <v>2</v>
      </c>
      <c r="J20" s="142" t="s">
        <v>95</v>
      </c>
      <c r="K20" s="141">
        <v>42226</v>
      </c>
      <c r="L20" s="142" t="s">
        <v>114</v>
      </c>
      <c r="M20" s="120">
        <f>100/1000</f>
        <v>0.1</v>
      </c>
      <c r="N20" s="147">
        <f>650/1000</f>
        <v>0.65</v>
      </c>
      <c r="O20" s="147">
        <f>900/1000</f>
        <v>0.9</v>
      </c>
      <c r="P20" s="147">
        <f>725/1000</f>
        <v>0.72499999999999998</v>
      </c>
      <c r="Q20" s="147">
        <v>5.3081100000000001</v>
      </c>
      <c r="R20" s="147">
        <f>1825/1000</f>
        <v>1.825</v>
      </c>
      <c r="S20" s="147">
        <f>175/1000</f>
        <v>0.17499999999999999</v>
      </c>
      <c r="T20" s="147">
        <f>50/1000</f>
        <v>0.05</v>
      </c>
      <c r="U20" s="147">
        <f>325/1000</f>
        <v>0.32500000000000001</v>
      </c>
      <c r="V20" s="147">
        <v>8.4425000000000008</v>
      </c>
      <c r="W20" s="147">
        <v>0</v>
      </c>
      <c r="X20" s="147">
        <v>0</v>
      </c>
      <c r="Y20" s="147">
        <v>3.6</v>
      </c>
      <c r="Z20" s="147">
        <v>1.2348600000000001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38"/>
      <c r="AK20" s="138"/>
      <c r="AL20" s="138"/>
      <c r="AM20" s="138"/>
      <c r="AN20" s="138"/>
      <c r="AP20" s="5"/>
      <c r="AQ20" s="5"/>
      <c r="AR20" s="5"/>
      <c r="AS20" s="5"/>
    </row>
    <row r="21" spans="1:45" s="81" customFormat="1" ht="23.25">
      <c r="A21" s="82" t="s">
        <v>9</v>
      </c>
      <c r="B21" s="82">
        <v>421</v>
      </c>
      <c r="C21" s="25">
        <v>3304</v>
      </c>
      <c r="D21" s="82">
        <v>100</v>
      </c>
      <c r="E21" s="82" t="s">
        <v>21</v>
      </c>
      <c r="F21" s="36">
        <v>0</v>
      </c>
      <c r="G21" s="36">
        <v>20279</v>
      </c>
      <c r="H21" s="44">
        <v>20.279</v>
      </c>
      <c r="I21" s="34">
        <v>2</v>
      </c>
      <c r="J21" s="82" t="s">
        <v>227</v>
      </c>
      <c r="K21" s="83">
        <v>42226</v>
      </c>
      <c r="L21" s="13" t="s">
        <v>114</v>
      </c>
      <c r="M21" s="99">
        <v>9.75</v>
      </c>
      <c r="N21" s="99">
        <v>4.2750000000000004</v>
      </c>
      <c r="O21" s="99">
        <v>2.625</v>
      </c>
      <c r="P21" s="99">
        <v>3.55</v>
      </c>
      <c r="Q21" s="99">
        <v>3.4141300000000001</v>
      </c>
      <c r="R21" s="99">
        <v>9.0250000000000004</v>
      </c>
      <c r="S21" s="99">
        <v>4.0750000000000002</v>
      </c>
      <c r="T21" s="99">
        <v>2.2250000000000001</v>
      </c>
      <c r="U21" s="99">
        <v>4.875</v>
      </c>
      <c r="V21" s="99">
        <v>19.878399999999999</v>
      </c>
      <c r="W21" s="99">
        <v>0</v>
      </c>
      <c r="X21" s="99">
        <v>0</v>
      </c>
      <c r="Y21" s="99">
        <v>20.279</v>
      </c>
      <c r="Z21" s="99">
        <v>1.20906</v>
      </c>
      <c r="AA21" s="100">
        <v>328.8</v>
      </c>
      <c r="AB21" s="99">
        <v>0</v>
      </c>
      <c r="AC21" s="99">
        <f t="shared" si="2"/>
        <v>0.46325192141060773</v>
      </c>
      <c r="AD21" s="99">
        <v>149.02000000000001</v>
      </c>
      <c r="AE21" s="99">
        <f t="shared" si="3"/>
        <v>0.20995681669284905</v>
      </c>
      <c r="AF21" s="99">
        <v>135</v>
      </c>
      <c r="AG21" s="99">
        <f t="shared" si="0"/>
        <v>0.19020379984924587</v>
      </c>
      <c r="AH21" s="99">
        <v>1.55</v>
      </c>
      <c r="AI21" s="99">
        <f t="shared" si="4"/>
        <v>2.1838214056765265E-3</v>
      </c>
      <c r="AJ21" s="3"/>
      <c r="AK21" s="3">
        <f t="shared" si="5"/>
        <v>0</v>
      </c>
      <c r="AL21" s="3">
        <f t="shared" si="6"/>
        <v>12458.809230000001</v>
      </c>
      <c r="AM21" s="3">
        <f t="shared" si="7"/>
        <v>20.2</v>
      </c>
      <c r="AN21" s="3">
        <f t="shared" si="1"/>
        <v>20.200000000000003</v>
      </c>
      <c r="AP21" s="5"/>
      <c r="AQ21" s="5"/>
      <c r="AR21" s="5"/>
      <c r="AS21" s="5"/>
    </row>
    <row r="22" spans="1:45" s="81" customFormat="1" ht="23.25">
      <c r="A22" s="82" t="s">
        <v>9</v>
      </c>
      <c r="B22" s="82">
        <v>421</v>
      </c>
      <c r="C22" s="25">
        <v>3378</v>
      </c>
      <c r="D22" s="82">
        <v>100</v>
      </c>
      <c r="E22" s="82" t="s">
        <v>22</v>
      </c>
      <c r="F22" s="36">
        <v>0</v>
      </c>
      <c r="G22" s="36">
        <v>14424</v>
      </c>
      <c r="H22" s="44">
        <v>14.423999999999999</v>
      </c>
      <c r="I22" s="34">
        <v>2</v>
      </c>
      <c r="J22" s="82" t="s">
        <v>227</v>
      </c>
      <c r="K22" s="83">
        <v>42226</v>
      </c>
      <c r="L22" s="13" t="s">
        <v>114</v>
      </c>
      <c r="M22" s="99">
        <v>8.5749999999999993</v>
      </c>
      <c r="N22" s="99">
        <v>3.7250000000000001</v>
      </c>
      <c r="O22" s="99">
        <v>1.65</v>
      </c>
      <c r="P22" s="99">
        <v>0.65</v>
      </c>
      <c r="Q22" s="99">
        <v>2.6676199999999999</v>
      </c>
      <c r="R22" s="99">
        <v>7.4999999999999997E-2</v>
      </c>
      <c r="S22" s="99">
        <v>0.375</v>
      </c>
      <c r="T22" s="99">
        <v>1.075</v>
      </c>
      <c r="U22" s="99">
        <v>13.074999999999999</v>
      </c>
      <c r="V22" s="99">
        <v>69.641199999999998</v>
      </c>
      <c r="W22" s="99">
        <v>0</v>
      </c>
      <c r="X22" s="99">
        <v>0</v>
      </c>
      <c r="Y22" s="99">
        <v>14.423999999999999</v>
      </c>
      <c r="Z22" s="99">
        <v>1.18388</v>
      </c>
      <c r="AA22" s="100">
        <v>70.69</v>
      </c>
      <c r="AB22" s="99">
        <v>24.02</v>
      </c>
      <c r="AC22" s="99">
        <f t="shared" si="2"/>
        <v>0.16381427779098331</v>
      </c>
      <c r="AD22" s="99">
        <v>1.59</v>
      </c>
      <c r="AE22" s="99">
        <f t="shared" si="3"/>
        <v>3.1495127169004051E-3</v>
      </c>
      <c r="AF22" s="99">
        <v>855</v>
      </c>
      <c r="AG22" s="99">
        <f t="shared" si="0"/>
        <v>1.6936058949370101</v>
      </c>
      <c r="AH22" s="99">
        <v>0</v>
      </c>
      <c r="AI22" s="99">
        <f t="shared" si="4"/>
        <v>0</v>
      </c>
      <c r="AJ22" s="3"/>
      <c r="AK22" s="3">
        <f t="shared" si="5"/>
        <v>12.01</v>
      </c>
      <c r="AL22" s="3">
        <f t="shared" si="6"/>
        <v>13548.318959999999</v>
      </c>
      <c r="AM22" s="3">
        <f t="shared" si="7"/>
        <v>14.6</v>
      </c>
      <c r="AN22" s="3">
        <f t="shared" si="1"/>
        <v>14.6</v>
      </c>
      <c r="AP22" s="5"/>
      <c r="AQ22" s="5"/>
      <c r="AR22" s="5"/>
      <c r="AS22" s="5"/>
    </row>
    <row r="23" spans="1:45" s="81" customFormat="1" ht="23.25">
      <c r="A23" s="82" t="s">
        <v>9</v>
      </c>
      <c r="B23" s="82">
        <v>421</v>
      </c>
      <c r="C23" s="25">
        <v>3551</v>
      </c>
      <c r="D23" s="82">
        <v>100</v>
      </c>
      <c r="E23" s="82" t="s">
        <v>23</v>
      </c>
      <c r="F23" s="36">
        <v>0</v>
      </c>
      <c r="G23" s="36">
        <v>10947</v>
      </c>
      <c r="H23" s="44">
        <v>10.946999999999999</v>
      </c>
      <c r="I23" s="34">
        <v>4</v>
      </c>
      <c r="J23" s="82" t="s">
        <v>227</v>
      </c>
      <c r="K23" s="83">
        <v>42226</v>
      </c>
      <c r="L23" s="13" t="s">
        <v>114</v>
      </c>
      <c r="M23" s="99">
        <v>8.5250000000000004</v>
      </c>
      <c r="N23" s="99">
        <v>0.97499999999999998</v>
      </c>
      <c r="O23" s="99">
        <v>0.8</v>
      </c>
      <c r="P23" s="99">
        <v>0.27500000000000002</v>
      </c>
      <c r="Q23" s="99">
        <v>2.1801699999999999</v>
      </c>
      <c r="R23" s="99">
        <v>6.7249999999999996</v>
      </c>
      <c r="S23" s="99">
        <v>2.5249999999999999</v>
      </c>
      <c r="T23" s="99">
        <v>0.72499999999999998</v>
      </c>
      <c r="U23" s="99">
        <v>0.6</v>
      </c>
      <c r="V23" s="99">
        <v>8.6203500000000002</v>
      </c>
      <c r="W23" s="99">
        <v>0</v>
      </c>
      <c r="X23" s="99">
        <v>0</v>
      </c>
      <c r="Y23" s="99">
        <v>10.946999999999999</v>
      </c>
      <c r="Z23" s="99">
        <v>1.3366199999999999</v>
      </c>
      <c r="AA23" s="100">
        <v>0</v>
      </c>
      <c r="AB23" s="99">
        <v>13.67</v>
      </c>
      <c r="AC23" s="99">
        <f t="shared" si="2"/>
        <v>1.7839199258766265E-2</v>
      </c>
      <c r="AD23" s="99">
        <v>0</v>
      </c>
      <c r="AE23" s="99">
        <f t="shared" si="3"/>
        <v>0</v>
      </c>
      <c r="AF23" s="99">
        <v>0</v>
      </c>
      <c r="AG23" s="99">
        <f t="shared" si="0"/>
        <v>0</v>
      </c>
      <c r="AH23" s="99">
        <v>0</v>
      </c>
      <c r="AI23" s="99">
        <f t="shared" si="4"/>
        <v>0</v>
      </c>
      <c r="AJ23" s="3"/>
      <c r="AK23" s="3">
        <f t="shared" si="5"/>
        <v>6.835</v>
      </c>
      <c r="AL23" s="3">
        <f t="shared" si="6"/>
        <v>74.822744999999998</v>
      </c>
      <c r="AM23" s="3">
        <f t="shared" si="7"/>
        <v>10.575000000000001</v>
      </c>
      <c r="AN23" s="3">
        <f t="shared" si="1"/>
        <v>10.574999999999999</v>
      </c>
      <c r="AP23" s="5"/>
      <c r="AQ23" s="5"/>
      <c r="AR23" s="5"/>
      <c r="AS23" s="5"/>
    </row>
    <row r="24" spans="1:45" s="81" customFormat="1" ht="23.25">
      <c r="A24" s="82" t="s">
        <v>9</v>
      </c>
      <c r="B24" s="82">
        <v>421</v>
      </c>
      <c r="C24" s="25">
        <v>3551</v>
      </c>
      <c r="D24" s="82">
        <v>100</v>
      </c>
      <c r="E24" s="82" t="s">
        <v>23</v>
      </c>
      <c r="F24" s="36">
        <v>10947</v>
      </c>
      <c r="G24" s="36">
        <v>0</v>
      </c>
      <c r="H24" s="44">
        <v>10.946999999999999</v>
      </c>
      <c r="I24" s="34">
        <v>4</v>
      </c>
      <c r="J24" s="82" t="s">
        <v>95</v>
      </c>
      <c r="K24" s="83">
        <v>42226</v>
      </c>
      <c r="L24" s="13" t="s">
        <v>114</v>
      </c>
      <c r="M24" s="99">
        <v>7.1749999999999998</v>
      </c>
      <c r="N24" s="99">
        <v>2.15</v>
      </c>
      <c r="O24" s="99">
        <v>1.4</v>
      </c>
      <c r="P24" s="99">
        <v>0.15</v>
      </c>
      <c r="Q24" s="99">
        <v>2.5140099999999999</v>
      </c>
      <c r="R24" s="99">
        <v>3.1</v>
      </c>
      <c r="S24" s="99">
        <v>1.625</v>
      </c>
      <c r="T24" s="99">
        <v>1.3</v>
      </c>
      <c r="U24" s="99">
        <v>4.8499999999999996</v>
      </c>
      <c r="V24" s="99">
        <v>19.591899999999999</v>
      </c>
      <c r="W24" s="99">
        <v>0</v>
      </c>
      <c r="X24" s="99">
        <v>0</v>
      </c>
      <c r="Y24" s="99">
        <v>10.946999999999999</v>
      </c>
      <c r="Z24" s="99">
        <v>1.2772399999999999</v>
      </c>
      <c r="AA24" s="100">
        <v>0</v>
      </c>
      <c r="AB24" s="99">
        <v>9.57</v>
      </c>
      <c r="AC24" s="99">
        <f t="shared" si="2"/>
        <v>1.2488744470109232E-2</v>
      </c>
      <c r="AD24" s="99">
        <v>0</v>
      </c>
      <c r="AE24" s="99">
        <f t="shared" si="3"/>
        <v>0</v>
      </c>
      <c r="AF24" s="99">
        <v>0</v>
      </c>
      <c r="AG24" s="99">
        <f t="shared" si="0"/>
        <v>0</v>
      </c>
      <c r="AH24" s="99">
        <v>0</v>
      </c>
      <c r="AI24" s="99">
        <f t="shared" si="4"/>
        <v>0</v>
      </c>
      <c r="AJ24" s="3"/>
      <c r="AK24" s="3">
        <f t="shared" si="5"/>
        <v>4.7850000000000001</v>
      </c>
      <c r="AL24" s="3">
        <f t="shared" si="6"/>
        <v>52.381394999999998</v>
      </c>
      <c r="AM24" s="3">
        <f t="shared" si="7"/>
        <v>10.875</v>
      </c>
      <c r="AN24" s="3">
        <f t="shared" si="1"/>
        <v>10.875</v>
      </c>
      <c r="AP24" s="5"/>
      <c r="AQ24" s="5"/>
      <c r="AR24" s="5"/>
      <c r="AS24" s="5"/>
    </row>
    <row r="25" spans="1:45" s="81" customFormat="1" ht="23.25">
      <c r="A25" s="82" t="s">
        <v>9</v>
      </c>
      <c r="B25" s="82">
        <v>421</v>
      </c>
      <c r="C25" s="25">
        <v>3572</v>
      </c>
      <c r="D25" s="82">
        <v>100</v>
      </c>
      <c r="E25" s="82" t="s">
        <v>24</v>
      </c>
      <c r="F25" s="36">
        <v>0</v>
      </c>
      <c r="G25" s="36">
        <v>461</v>
      </c>
      <c r="H25" s="44">
        <v>0.46100000000000002</v>
      </c>
      <c r="I25" s="34">
        <v>4</v>
      </c>
      <c r="J25" s="82" t="s">
        <v>226</v>
      </c>
      <c r="K25" s="83">
        <v>42227</v>
      </c>
      <c r="L25" s="13" t="s">
        <v>114</v>
      </c>
      <c r="M25" s="99">
        <v>0.35</v>
      </c>
      <c r="N25" s="99">
        <v>7.4999999999999997E-2</v>
      </c>
      <c r="O25" s="99">
        <v>0</v>
      </c>
      <c r="P25" s="99">
        <v>0.05</v>
      </c>
      <c r="Q25" s="99">
        <v>2.5442100000000001</v>
      </c>
      <c r="R25" s="99">
        <v>0.4</v>
      </c>
      <c r="S25" s="99">
        <v>7.4999999999999997E-2</v>
      </c>
      <c r="T25" s="99">
        <v>0</v>
      </c>
      <c r="U25" s="99">
        <v>0</v>
      </c>
      <c r="V25" s="99">
        <v>6.1390000000000002</v>
      </c>
      <c r="W25" s="99">
        <v>0</v>
      </c>
      <c r="X25" s="99">
        <v>0</v>
      </c>
      <c r="Y25" s="99">
        <v>0.46100000000000002</v>
      </c>
      <c r="Z25" s="99">
        <v>1.08379</v>
      </c>
      <c r="AA25" s="100">
        <v>0</v>
      </c>
      <c r="AB25" s="99">
        <v>0</v>
      </c>
      <c r="AC25" s="99">
        <f t="shared" si="2"/>
        <v>0</v>
      </c>
      <c r="AD25" s="99">
        <v>0</v>
      </c>
      <c r="AE25" s="99">
        <f t="shared" si="3"/>
        <v>0</v>
      </c>
      <c r="AF25" s="99">
        <v>0</v>
      </c>
      <c r="AG25" s="99">
        <f t="shared" si="0"/>
        <v>0</v>
      </c>
      <c r="AH25" s="99">
        <v>0</v>
      </c>
      <c r="AI25" s="99">
        <f t="shared" si="4"/>
        <v>0</v>
      </c>
      <c r="AJ25" s="3"/>
      <c r="AK25" s="3">
        <f t="shared" si="5"/>
        <v>0</v>
      </c>
      <c r="AL25" s="3">
        <f t="shared" si="6"/>
        <v>0</v>
      </c>
      <c r="AM25" s="3">
        <f t="shared" si="7"/>
        <v>0.47499999999999998</v>
      </c>
      <c r="AN25" s="3">
        <f t="shared" si="1"/>
        <v>0.47500000000000003</v>
      </c>
      <c r="AP25" s="5"/>
      <c r="AQ25" s="5"/>
      <c r="AR25" s="5"/>
      <c r="AS25" s="5"/>
    </row>
    <row r="26" spans="1:45" s="81" customFormat="1" ht="23.25">
      <c r="A26" s="82" t="s">
        <v>9</v>
      </c>
      <c r="B26" s="82">
        <v>421</v>
      </c>
      <c r="C26" s="25">
        <v>3572</v>
      </c>
      <c r="D26" s="82">
        <v>100</v>
      </c>
      <c r="E26" s="82" t="s">
        <v>24</v>
      </c>
      <c r="F26" s="36">
        <v>461</v>
      </c>
      <c r="G26" s="36">
        <v>0</v>
      </c>
      <c r="H26" s="44">
        <v>0.46100000000000002</v>
      </c>
      <c r="I26" s="34">
        <v>4</v>
      </c>
      <c r="J26" s="82" t="s">
        <v>94</v>
      </c>
      <c r="K26" s="83">
        <v>42227</v>
      </c>
      <c r="L26" s="13" t="s">
        <v>114</v>
      </c>
      <c r="M26" s="99">
        <v>0.35</v>
      </c>
      <c r="N26" s="99">
        <v>0.1</v>
      </c>
      <c r="O26" s="99">
        <v>0</v>
      </c>
      <c r="P26" s="99">
        <v>2.5000000000000001E-2</v>
      </c>
      <c r="Q26" s="99">
        <v>2.4363199999999998</v>
      </c>
      <c r="R26" s="99">
        <v>0.45</v>
      </c>
      <c r="S26" s="99">
        <v>0</v>
      </c>
      <c r="T26" s="99">
        <v>0</v>
      </c>
      <c r="U26" s="99">
        <v>2.5000000000000001E-2</v>
      </c>
      <c r="V26" s="99">
        <v>6.8843699999999997</v>
      </c>
      <c r="W26" s="99">
        <v>0</v>
      </c>
      <c r="X26" s="99">
        <v>0</v>
      </c>
      <c r="Y26" s="99">
        <v>0.46100000000000002</v>
      </c>
      <c r="Z26" s="99">
        <v>1.3507400000000001</v>
      </c>
      <c r="AA26" s="100">
        <v>0</v>
      </c>
      <c r="AB26" s="99">
        <v>0</v>
      </c>
      <c r="AC26" s="99">
        <f t="shared" si="2"/>
        <v>0</v>
      </c>
      <c r="AD26" s="99">
        <v>0</v>
      </c>
      <c r="AE26" s="99">
        <f t="shared" si="3"/>
        <v>0</v>
      </c>
      <c r="AF26" s="99">
        <v>43</v>
      </c>
      <c r="AG26" s="99">
        <f t="shared" si="0"/>
        <v>2.6650139448404087</v>
      </c>
      <c r="AH26" s="99">
        <v>0</v>
      </c>
      <c r="AI26" s="99">
        <f t="shared" si="4"/>
        <v>0</v>
      </c>
      <c r="AJ26" s="3"/>
      <c r="AK26" s="3">
        <f t="shared" si="5"/>
        <v>0</v>
      </c>
      <c r="AL26" s="3">
        <f t="shared" si="6"/>
        <v>19.823</v>
      </c>
      <c r="AM26" s="3">
        <f t="shared" si="7"/>
        <v>0.47499999999999998</v>
      </c>
      <c r="AN26" s="3">
        <f t="shared" si="1"/>
        <v>0.47500000000000003</v>
      </c>
      <c r="AP26" s="5"/>
      <c r="AQ26" s="5"/>
      <c r="AR26" s="5"/>
      <c r="AS26" s="5"/>
    </row>
    <row r="27" spans="1:45" s="81" customFormat="1" ht="23.25">
      <c r="A27" s="82" t="s">
        <v>9</v>
      </c>
      <c r="B27" s="82">
        <v>421</v>
      </c>
      <c r="C27" s="25">
        <v>3640</v>
      </c>
      <c r="D27" s="82">
        <v>100</v>
      </c>
      <c r="E27" s="82" t="s">
        <v>25</v>
      </c>
      <c r="F27" s="36">
        <v>3197</v>
      </c>
      <c r="G27" s="36">
        <v>0</v>
      </c>
      <c r="H27" s="44">
        <v>3.1970000000000001</v>
      </c>
      <c r="I27" s="34">
        <v>2</v>
      </c>
      <c r="J27" s="82" t="s">
        <v>95</v>
      </c>
      <c r="K27" s="83">
        <v>42226</v>
      </c>
      <c r="L27" s="13" t="s">
        <v>114</v>
      </c>
      <c r="M27" s="99">
        <v>1.625</v>
      </c>
      <c r="N27" s="99">
        <v>1.0249999999999999</v>
      </c>
      <c r="O27" s="99">
        <v>0.42499999999999999</v>
      </c>
      <c r="P27" s="99">
        <v>0.17499999999999999</v>
      </c>
      <c r="Q27" s="99">
        <v>2.7399200000000001</v>
      </c>
      <c r="R27" s="99">
        <v>0.05</v>
      </c>
      <c r="S27" s="99">
        <v>0.05</v>
      </c>
      <c r="T27" s="99">
        <v>0</v>
      </c>
      <c r="U27" s="99">
        <v>3.15</v>
      </c>
      <c r="V27" s="99">
        <v>53.8035</v>
      </c>
      <c r="W27" s="99">
        <v>0</v>
      </c>
      <c r="X27" s="99">
        <v>0</v>
      </c>
      <c r="Y27" s="99">
        <v>3.1970000000000001</v>
      </c>
      <c r="Z27" s="99">
        <v>1.0996999999999999</v>
      </c>
      <c r="AA27" s="100">
        <v>0</v>
      </c>
      <c r="AB27" s="99">
        <v>17.239999999999998</v>
      </c>
      <c r="AC27" s="99">
        <f t="shared" si="2"/>
        <v>7.7036507440010712E-2</v>
      </c>
      <c r="AD27" s="99">
        <v>0</v>
      </c>
      <c r="AE27" s="147">
        <f t="shared" si="3"/>
        <v>0</v>
      </c>
      <c r="AF27" s="99">
        <v>0</v>
      </c>
      <c r="AG27" s="99">
        <f t="shared" si="0"/>
        <v>0</v>
      </c>
      <c r="AH27" s="99">
        <v>0</v>
      </c>
      <c r="AI27" s="99">
        <f t="shared" si="4"/>
        <v>0</v>
      </c>
      <c r="AJ27" s="3"/>
      <c r="AK27" s="3">
        <f t="shared" si="5"/>
        <v>8.6199999999999992</v>
      </c>
      <c r="AL27" s="3">
        <f t="shared" si="6"/>
        <v>27.558139999999998</v>
      </c>
      <c r="AM27" s="3">
        <f t="shared" si="7"/>
        <v>3.2499999999999996</v>
      </c>
      <c r="AN27" s="3">
        <f>SUM(R27:U27)</f>
        <v>3.25</v>
      </c>
      <c r="AP27" s="5"/>
      <c r="AQ27" s="5"/>
      <c r="AR27" s="5"/>
      <c r="AS27" s="5"/>
    </row>
    <row r="28" spans="1:45" s="117" customFormat="1" ht="23.25">
      <c r="A28" s="142" t="s">
        <v>9</v>
      </c>
      <c r="B28" s="142">
        <v>421</v>
      </c>
      <c r="C28" s="142">
        <v>3606</v>
      </c>
      <c r="D28" s="142">
        <v>100</v>
      </c>
      <c r="E28" s="142" t="s">
        <v>270</v>
      </c>
      <c r="F28" s="119">
        <v>0</v>
      </c>
      <c r="G28" s="119">
        <v>1221</v>
      </c>
      <c r="H28" s="142">
        <v>1.2210000000000001</v>
      </c>
      <c r="I28" s="142">
        <v>2</v>
      </c>
      <c r="J28" s="142" t="s">
        <v>227</v>
      </c>
      <c r="K28" s="141">
        <v>42227</v>
      </c>
      <c r="L28" s="142" t="s">
        <v>114</v>
      </c>
      <c r="M28" s="147">
        <f>675/1000</f>
        <v>0.67500000000000004</v>
      </c>
      <c r="N28" s="147">
        <f>325/1000</f>
        <v>0.32500000000000001</v>
      </c>
      <c r="O28" s="147">
        <f>225/1000</f>
        <v>0.22500000000000001</v>
      </c>
      <c r="P28" s="147">
        <f>100/1000</f>
        <v>0.1</v>
      </c>
      <c r="Q28" s="147">
        <v>3.10547</v>
      </c>
      <c r="R28" s="147">
        <f>1300/1000</f>
        <v>1.3</v>
      </c>
      <c r="S28" s="147">
        <v>0</v>
      </c>
      <c r="T28" s="147">
        <f>25/1000</f>
        <v>2.5000000000000001E-2</v>
      </c>
      <c r="U28" s="147">
        <v>0</v>
      </c>
      <c r="V28" s="147">
        <v>3.3728699999999998</v>
      </c>
      <c r="W28" s="147">
        <v>0</v>
      </c>
      <c r="X28" s="147">
        <v>0</v>
      </c>
      <c r="Y28" s="147">
        <v>1.2</v>
      </c>
      <c r="Z28" s="147">
        <v>1.1772800000000001</v>
      </c>
      <c r="AA28" s="147">
        <v>0</v>
      </c>
      <c r="AB28" s="147">
        <v>0</v>
      </c>
      <c r="AC28" s="147">
        <v>0</v>
      </c>
      <c r="AD28" s="147">
        <v>0</v>
      </c>
      <c r="AE28" s="147">
        <f t="shared" si="3"/>
        <v>0</v>
      </c>
      <c r="AF28" s="147">
        <v>0</v>
      </c>
      <c r="AG28" s="147">
        <f t="shared" si="0"/>
        <v>0</v>
      </c>
      <c r="AH28" s="147">
        <v>0</v>
      </c>
      <c r="AI28" s="147">
        <v>0</v>
      </c>
      <c r="AJ28" s="138"/>
      <c r="AK28" s="138">
        <f t="shared" si="5"/>
        <v>0</v>
      </c>
      <c r="AL28" s="138">
        <f t="shared" si="6"/>
        <v>0</v>
      </c>
      <c r="AM28" s="138"/>
      <c r="AN28" s="138">
        <f>SUM(R28:U28)</f>
        <v>1.325</v>
      </c>
      <c r="AP28" s="5"/>
      <c r="AQ28" s="5"/>
      <c r="AR28" s="5"/>
      <c r="AS28" s="5"/>
    </row>
    <row r="29" spans="1:45" s="117" customFormat="1" ht="23.25">
      <c r="A29" s="142" t="s">
        <v>9</v>
      </c>
      <c r="B29" s="142">
        <v>421</v>
      </c>
      <c r="C29" s="142">
        <v>3606</v>
      </c>
      <c r="D29" s="142">
        <v>100</v>
      </c>
      <c r="E29" s="142" t="s">
        <v>270</v>
      </c>
      <c r="F29" s="119">
        <v>1221</v>
      </c>
      <c r="G29" s="119">
        <v>3568</v>
      </c>
      <c r="H29" s="142">
        <v>2.347</v>
      </c>
      <c r="I29" s="142">
        <v>2</v>
      </c>
      <c r="J29" s="142" t="s">
        <v>227</v>
      </c>
      <c r="K29" s="141">
        <v>42227</v>
      </c>
      <c r="L29" s="142" t="s">
        <v>114</v>
      </c>
      <c r="M29" s="147">
        <f>1575/1000</f>
        <v>1.575</v>
      </c>
      <c r="N29" s="147">
        <f>650/1000</f>
        <v>0.65</v>
      </c>
      <c r="O29" s="147">
        <f>200/1000</f>
        <v>0.2</v>
      </c>
      <c r="P29" s="147">
        <f>25/1000</f>
        <v>2.5000000000000001E-2</v>
      </c>
      <c r="Q29" s="147">
        <v>2.4316300000000002</v>
      </c>
      <c r="R29" s="147">
        <f>2325/1000</f>
        <v>2.3250000000000002</v>
      </c>
      <c r="S29" s="147">
        <f>75/1000</f>
        <v>7.4999999999999997E-2</v>
      </c>
      <c r="T29" s="147">
        <v>0</v>
      </c>
      <c r="U29" s="147">
        <f>50/1000</f>
        <v>0.05</v>
      </c>
      <c r="V29" s="147">
        <v>5.1379099999999998</v>
      </c>
      <c r="W29" s="147">
        <v>0</v>
      </c>
      <c r="X29" s="147">
        <v>0</v>
      </c>
      <c r="Y29" s="147">
        <v>2.2000000000000002</v>
      </c>
      <c r="Z29" s="147">
        <v>1.22495</v>
      </c>
      <c r="AA29" s="147">
        <v>0</v>
      </c>
      <c r="AB29" s="147">
        <v>0</v>
      </c>
      <c r="AC29" s="147">
        <v>0</v>
      </c>
      <c r="AD29" s="142">
        <v>1.25</v>
      </c>
      <c r="AE29" s="147">
        <f t="shared" si="3"/>
        <v>1.5216994339278107E-2</v>
      </c>
      <c r="AF29" s="142">
        <v>110.28</v>
      </c>
      <c r="AG29" s="147">
        <f t="shared" si="0"/>
        <v>1.3425041085884717</v>
      </c>
      <c r="AH29" s="147">
        <v>0</v>
      </c>
      <c r="AI29" s="147">
        <v>0</v>
      </c>
      <c r="AJ29" s="138"/>
      <c r="AK29" s="138">
        <f t="shared" si="5"/>
        <v>0</v>
      </c>
      <c r="AL29" s="138">
        <f t="shared" si="6"/>
        <v>261.76091000000002</v>
      </c>
      <c r="AM29" s="138"/>
      <c r="AN29" s="138"/>
      <c r="AP29" s="5"/>
      <c r="AQ29" s="5"/>
      <c r="AR29" s="5"/>
      <c r="AS29" s="5"/>
    </row>
    <row r="30" spans="1:45" s="117" customFormat="1" ht="23.25">
      <c r="A30" s="142" t="s">
        <v>9</v>
      </c>
      <c r="B30" s="142">
        <v>421</v>
      </c>
      <c r="C30" s="26">
        <v>3609</v>
      </c>
      <c r="D30" s="142">
        <v>100</v>
      </c>
      <c r="E30" s="142" t="s">
        <v>269</v>
      </c>
      <c r="F30" s="119">
        <v>0</v>
      </c>
      <c r="G30" s="119">
        <v>3568</v>
      </c>
      <c r="H30" s="142">
        <v>3.5680000000000001</v>
      </c>
      <c r="I30" s="142">
        <v>2</v>
      </c>
      <c r="J30" s="142" t="s">
        <v>227</v>
      </c>
      <c r="K30" s="141">
        <v>42227</v>
      </c>
      <c r="L30" s="142" t="s">
        <v>114</v>
      </c>
      <c r="M30" s="147">
        <f>600/1000</f>
        <v>0.6</v>
      </c>
      <c r="N30" s="147">
        <f>1600/1000</f>
        <v>1.6</v>
      </c>
      <c r="O30" s="147">
        <f>1400/1000</f>
        <v>1.4</v>
      </c>
      <c r="P30" s="147">
        <f>325/1000</f>
        <v>0.32500000000000001</v>
      </c>
      <c r="Q30" s="147">
        <v>3.7453500000000002</v>
      </c>
      <c r="R30" s="147">
        <f>3775/1000</f>
        <v>3.7749999999999999</v>
      </c>
      <c r="S30" s="147">
        <f>75/1000</f>
        <v>7.4999999999999997E-2</v>
      </c>
      <c r="T30" s="147">
        <f>25/1000</f>
        <v>2.5000000000000001E-2</v>
      </c>
      <c r="U30" s="147">
        <f>50/1000</f>
        <v>0.05</v>
      </c>
      <c r="V30" s="147">
        <v>3.96706</v>
      </c>
      <c r="W30" s="147">
        <v>0</v>
      </c>
      <c r="X30" s="147">
        <v>0</v>
      </c>
      <c r="Y30" s="147">
        <v>3.5</v>
      </c>
      <c r="Z30" s="147">
        <v>1.40605</v>
      </c>
      <c r="AA30" s="147">
        <v>0</v>
      </c>
      <c r="AB30" s="147">
        <v>0</v>
      </c>
      <c r="AC30" s="147">
        <v>0</v>
      </c>
      <c r="AD30" s="147">
        <v>0</v>
      </c>
      <c r="AE30" s="147">
        <v>0</v>
      </c>
      <c r="AF30" s="147">
        <v>0</v>
      </c>
      <c r="AG30" s="147">
        <v>0</v>
      </c>
      <c r="AH30" s="147">
        <v>0</v>
      </c>
      <c r="AI30" s="147">
        <v>0</v>
      </c>
      <c r="AJ30" s="138"/>
      <c r="AK30" s="138"/>
      <c r="AL30" s="138"/>
      <c r="AM30" s="138"/>
      <c r="AN30" s="138"/>
      <c r="AP30" s="5"/>
      <c r="AQ30" s="5"/>
      <c r="AR30" s="5"/>
      <c r="AS30" s="5"/>
    </row>
    <row r="31" spans="1:45" s="81" customFormat="1" ht="23.25">
      <c r="A31" s="82" t="s">
        <v>9</v>
      </c>
      <c r="B31" s="82">
        <v>421</v>
      </c>
      <c r="C31" s="25">
        <v>3702</v>
      </c>
      <c r="D31" s="82">
        <v>300</v>
      </c>
      <c r="E31" s="82" t="s">
        <v>26</v>
      </c>
      <c r="F31" s="36" t="s">
        <v>134</v>
      </c>
      <c r="G31" s="36" t="s">
        <v>135</v>
      </c>
      <c r="H31" s="44">
        <v>0.875</v>
      </c>
      <c r="I31" s="34">
        <v>2</v>
      </c>
      <c r="J31" s="82" t="s">
        <v>227</v>
      </c>
      <c r="K31" s="83">
        <v>42227</v>
      </c>
      <c r="L31" s="13" t="s">
        <v>114</v>
      </c>
      <c r="M31" s="99">
        <v>0.27500000000000002</v>
      </c>
      <c r="N31" s="99">
        <v>0.57499999999999996</v>
      </c>
      <c r="O31" s="99">
        <v>7.4999999999999997E-2</v>
      </c>
      <c r="P31" s="99">
        <v>0</v>
      </c>
      <c r="Q31" s="99">
        <v>2.762</v>
      </c>
      <c r="R31" s="99">
        <v>0.75</v>
      </c>
      <c r="S31" s="99">
        <v>0.05</v>
      </c>
      <c r="T31" s="99">
        <v>2.5000000000000001E-2</v>
      </c>
      <c r="U31" s="99">
        <v>0.1</v>
      </c>
      <c r="V31" s="99">
        <v>9.6609999999999996</v>
      </c>
      <c r="W31" s="99">
        <v>0</v>
      </c>
      <c r="X31" s="99">
        <v>0</v>
      </c>
      <c r="Y31" s="99">
        <v>0.875</v>
      </c>
      <c r="Z31" s="99">
        <v>1.2150000000000001</v>
      </c>
      <c r="AA31" s="100">
        <v>5.63</v>
      </c>
      <c r="AB31" s="99">
        <v>0</v>
      </c>
      <c r="AC31" s="99">
        <f t="shared" si="2"/>
        <v>0.18383673469387754</v>
      </c>
      <c r="AD31" s="99">
        <v>0</v>
      </c>
      <c r="AE31" s="99">
        <f t="shared" si="3"/>
        <v>0</v>
      </c>
      <c r="AF31" s="99">
        <v>0</v>
      </c>
      <c r="AG31" s="99">
        <f t="shared" si="0"/>
        <v>0</v>
      </c>
      <c r="AH31" s="99">
        <v>0</v>
      </c>
      <c r="AI31" s="99">
        <f t="shared" si="4"/>
        <v>0</v>
      </c>
      <c r="AJ31" s="3"/>
      <c r="AK31" s="3">
        <f t="shared" si="5"/>
        <v>0</v>
      </c>
      <c r="AL31" s="3">
        <f t="shared" si="6"/>
        <v>4.9262499999999996</v>
      </c>
      <c r="AM31" s="3">
        <f t="shared" si="7"/>
        <v>0.92499999999999993</v>
      </c>
      <c r="AN31" s="3">
        <f t="shared" ref="AN31" si="8">SUM(R31:U31)</f>
        <v>0.92500000000000004</v>
      </c>
      <c r="AP31" s="5"/>
      <c r="AQ31" s="5"/>
      <c r="AR31" s="5"/>
      <c r="AS31" s="5"/>
    </row>
    <row r="32" spans="1:45" s="117" customFormat="1" ht="23.25">
      <c r="A32" s="142" t="s">
        <v>9</v>
      </c>
      <c r="B32" s="142">
        <v>421</v>
      </c>
      <c r="C32" s="136">
        <v>3702</v>
      </c>
      <c r="D32" s="142">
        <v>300</v>
      </c>
      <c r="E32" s="142" t="s">
        <v>26</v>
      </c>
      <c r="F32" s="119" t="s">
        <v>121</v>
      </c>
      <c r="G32" s="119" t="s">
        <v>136</v>
      </c>
      <c r="H32" s="44">
        <v>0.2</v>
      </c>
      <c r="I32" s="137">
        <v>2</v>
      </c>
      <c r="J32" s="142" t="s">
        <v>227</v>
      </c>
      <c r="K32" s="141">
        <v>42227</v>
      </c>
      <c r="L32" s="13" t="s">
        <v>114</v>
      </c>
      <c r="M32" s="147">
        <v>2.5000000000000001E-2</v>
      </c>
      <c r="N32" s="147">
        <v>0.2</v>
      </c>
      <c r="O32" s="147">
        <v>0.05</v>
      </c>
      <c r="P32" s="147">
        <v>0</v>
      </c>
      <c r="Q32" s="147">
        <v>2.9860000000000002</v>
      </c>
      <c r="R32" s="147">
        <v>0.17499999999999999</v>
      </c>
      <c r="S32" s="147">
        <v>0</v>
      </c>
      <c r="T32" s="147">
        <v>0</v>
      </c>
      <c r="U32" s="147">
        <v>0.1</v>
      </c>
      <c r="V32" s="147">
        <v>11.967000000000001</v>
      </c>
      <c r="W32" s="147">
        <v>0</v>
      </c>
      <c r="X32" s="147">
        <v>0</v>
      </c>
      <c r="Y32" s="147">
        <v>0.2</v>
      </c>
      <c r="Z32" s="147">
        <v>1.4219999999999999</v>
      </c>
      <c r="AA32" s="100">
        <v>0</v>
      </c>
      <c r="AB32" s="147">
        <v>0</v>
      </c>
      <c r="AC32" s="147">
        <f t="shared" si="2"/>
        <v>0</v>
      </c>
      <c r="AD32" s="147">
        <v>0</v>
      </c>
      <c r="AE32" s="147">
        <f t="shared" si="3"/>
        <v>0</v>
      </c>
      <c r="AF32" s="147">
        <v>0</v>
      </c>
      <c r="AG32" s="147">
        <f t="shared" si="0"/>
        <v>0</v>
      </c>
      <c r="AH32" s="147">
        <v>0</v>
      </c>
      <c r="AI32" s="147">
        <f t="shared" si="4"/>
        <v>0</v>
      </c>
      <c r="AJ32" s="138"/>
      <c r="AK32" s="138">
        <f t="shared" si="5"/>
        <v>0</v>
      </c>
      <c r="AL32" s="138">
        <f t="shared" si="6"/>
        <v>0</v>
      </c>
      <c r="AM32" s="138"/>
      <c r="AN32" s="138"/>
      <c r="AP32" s="5"/>
      <c r="AQ32" s="5"/>
      <c r="AR32" s="5"/>
      <c r="AS32" s="5"/>
    </row>
    <row r="33" spans="1:45" s="33" customFormat="1" ht="23.25">
      <c r="A33" s="35" t="s">
        <v>9</v>
      </c>
      <c r="B33" s="35">
        <v>421</v>
      </c>
      <c r="C33" s="25">
        <v>3702</v>
      </c>
      <c r="D33" s="35">
        <v>300</v>
      </c>
      <c r="E33" s="35" t="s">
        <v>26</v>
      </c>
      <c r="F33" s="36" t="s">
        <v>137</v>
      </c>
      <c r="G33" s="36" t="s">
        <v>138</v>
      </c>
      <c r="H33" s="44">
        <v>5.665</v>
      </c>
      <c r="I33" s="34">
        <v>2</v>
      </c>
      <c r="J33" s="35" t="s">
        <v>227</v>
      </c>
      <c r="K33" s="12">
        <v>42227</v>
      </c>
      <c r="L33" s="13" t="s">
        <v>114</v>
      </c>
      <c r="M33" s="147">
        <v>1.45</v>
      </c>
      <c r="N33" s="147">
        <v>3.3250000000000002</v>
      </c>
      <c r="O33" s="147">
        <v>1.2749999999999999</v>
      </c>
      <c r="P33" s="147">
        <v>0.15</v>
      </c>
      <c r="Q33" s="147">
        <v>3.0750000000000002</v>
      </c>
      <c r="R33" s="147">
        <v>5.75</v>
      </c>
      <c r="S33" s="147">
        <v>0.1</v>
      </c>
      <c r="T33" s="147">
        <v>0.15</v>
      </c>
      <c r="U33" s="147">
        <v>0.2</v>
      </c>
      <c r="V33" s="99">
        <v>3.1749999999999998</v>
      </c>
      <c r="W33" s="99">
        <v>0</v>
      </c>
      <c r="X33" s="99">
        <v>0</v>
      </c>
      <c r="Y33" s="99">
        <v>5.665</v>
      </c>
      <c r="Z33" s="99">
        <v>1.403</v>
      </c>
      <c r="AA33" s="100">
        <v>73.27</v>
      </c>
      <c r="AB33" s="99">
        <v>0</v>
      </c>
      <c r="AC33" s="99">
        <f t="shared" si="2"/>
        <v>0.36953725885764721</v>
      </c>
      <c r="AD33" s="99">
        <v>8.4700000000000006</v>
      </c>
      <c r="AE33" s="99">
        <f t="shared" si="3"/>
        <v>4.2718446601941747E-2</v>
      </c>
      <c r="AF33" s="99">
        <v>152.81</v>
      </c>
      <c r="AG33" s="99">
        <f t="shared" si="0"/>
        <v>0.77069726390114746</v>
      </c>
      <c r="AH33" s="99">
        <v>0</v>
      </c>
      <c r="AI33" s="99">
        <f t="shared" si="4"/>
        <v>0</v>
      </c>
      <c r="AJ33" s="3"/>
      <c r="AK33" s="3">
        <f t="shared" si="5"/>
        <v>0</v>
      </c>
      <c r="AL33" s="3">
        <f t="shared" si="6"/>
        <v>1328.7257500000001</v>
      </c>
      <c r="AM33" s="3"/>
      <c r="AN33" s="3"/>
      <c r="AP33" s="5"/>
      <c r="AQ33" s="5"/>
      <c r="AR33" s="5"/>
      <c r="AS33" s="5"/>
    </row>
    <row r="34" spans="1:45" s="33" customFormat="1" ht="23.25">
      <c r="A34" s="35" t="s">
        <v>9</v>
      </c>
      <c r="B34" s="35">
        <v>421</v>
      </c>
      <c r="C34" s="25">
        <v>3702</v>
      </c>
      <c r="D34" s="35">
        <v>300</v>
      </c>
      <c r="E34" s="35" t="s">
        <v>26</v>
      </c>
      <c r="F34" s="36" t="s">
        <v>139</v>
      </c>
      <c r="G34" s="36" t="s">
        <v>140</v>
      </c>
      <c r="H34" s="44">
        <v>0.4</v>
      </c>
      <c r="I34" s="34">
        <v>2</v>
      </c>
      <c r="J34" s="35" t="s">
        <v>227</v>
      </c>
      <c r="K34" s="12">
        <v>42227</v>
      </c>
      <c r="L34" s="13" t="s">
        <v>114</v>
      </c>
      <c r="M34" s="147">
        <v>0.5</v>
      </c>
      <c r="N34" s="147">
        <v>0.27500000000000002</v>
      </c>
      <c r="O34" s="147">
        <v>7.4999999999999997E-2</v>
      </c>
      <c r="P34" s="147">
        <v>0.17499999999999999</v>
      </c>
      <c r="Q34" s="147">
        <v>3.4</v>
      </c>
      <c r="R34" s="147">
        <v>0.95</v>
      </c>
      <c r="S34" s="147">
        <v>7.4999999999999997E-2</v>
      </c>
      <c r="T34" s="147">
        <v>0</v>
      </c>
      <c r="U34" s="147">
        <v>0</v>
      </c>
      <c r="V34" s="99">
        <v>5.3719999999999999</v>
      </c>
      <c r="W34" s="99">
        <v>0</v>
      </c>
      <c r="X34" s="99">
        <v>0</v>
      </c>
      <c r="Y34" s="99">
        <v>0.4</v>
      </c>
      <c r="Z34" s="99">
        <v>1.2749999999999999</v>
      </c>
      <c r="AA34" s="100">
        <v>10.42</v>
      </c>
      <c r="AB34" s="99">
        <v>0</v>
      </c>
      <c r="AC34" s="99">
        <f t="shared" si="2"/>
        <v>0.74428571428571422</v>
      </c>
      <c r="AD34" s="99">
        <v>0.47</v>
      </c>
      <c r="AE34" s="99">
        <f t="shared" si="3"/>
        <v>3.3571428571428565E-2</v>
      </c>
      <c r="AF34" s="99">
        <v>4.8499999999999996</v>
      </c>
      <c r="AG34" s="99">
        <f t="shared" si="0"/>
        <v>0.34642857142857136</v>
      </c>
      <c r="AH34" s="99">
        <v>0</v>
      </c>
      <c r="AI34" s="99">
        <f t="shared" si="4"/>
        <v>0</v>
      </c>
      <c r="AJ34" s="3"/>
      <c r="AK34" s="3">
        <f t="shared" si="5"/>
        <v>0</v>
      </c>
      <c r="AL34" s="3">
        <f t="shared" si="6"/>
        <v>6.2960000000000003</v>
      </c>
      <c r="AM34" s="3"/>
      <c r="AN34" s="3"/>
      <c r="AP34" s="5"/>
      <c r="AQ34" s="5"/>
      <c r="AR34" s="5"/>
      <c r="AS34" s="5"/>
    </row>
    <row r="35" spans="1:45" s="6" customFormat="1" ht="23.25">
      <c r="A35" s="24"/>
      <c r="B35" s="24"/>
      <c r="C35" s="24"/>
      <c r="D35" s="24"/>
      <c r="E35" s="165"/>
      <c r="F35" s="197" t="s">
        <v>111</v>
      </c>
      <c r="G35" s="197"/>
      <c r="H35" s="149">
        <v>329.85500000000002</v>
      </c>
      <c r="I35" s="150"/>
      <c r="J35" s="150"/>
      <c r="K35" s="150"/>
      <c r="L35" s="150"/>
      <c r="M35" s="151">
        <f>SUM(M4:M34)</f>
        <v>171.03499999999997</v>
      </c>
      <c r="N35" s="151">
        <f>SUM(N4:N34)</f>
        <v>84.550000000000026</v>
      </c>
      <c r="O35" s="151">
        <f>SUM(O4:O34)</f>
        <v>53.15</v>
      </c>
      <c r="P35" s="151">
        <f>SUM(P4:P34)</f>
        <v>35.849999999999987</v>
      </c>
      <c r="Q35" s="151" t="s">
        <v>112</v>
      </c>
      <c r="R35" s="151">
        <f>SUM(R4:R34)</f>
        <v>237.95</v>
      </c>
      <c r="S35" s="151">
        <f>SUM(S4:S34)</f>
        <v>38.550000000000004</v>
      </c>
      <c r="T35" s="151">
        <f>SUM(T4:T34)</f>
        <v>16.699999999999992</v>
      </c>
      <c r="U35" s="151">
        <f>SUM(U4:U34)</f>
        <v>51.375</v>
      </c>
      <c r="V35" s="151" t="s">
        <v>112</v>
      </c>
      <c r="W35" s="151">
        <f>SUM(W4:W34)</f>
        <v>0</v>
      </c>
      <c r="X35" s="151">
        <f>SUM(X4:X34)</f>
        <v>0</v>
      </c>
      <c r="Y35" s="151">
        <f>SUM(Y4:Y34)</f>
        <v>342.59100000000001</v>
      </c>
      <c r="Z35" s="151" t="s">
        <v>112</v>
      </c>
      <c r="AA35" s="151">
        <f>SUM(AA4:AA34)</f>
        <v>4940.0700000000006</v>
      </c>
      <c r="AB35" s="151">
        <f>SUM(AB4:AB34)</f>
        <v>192.22</v>
      </c>
      <c r="AC35" s="151" t="s">
        <v>112</v>
      </c>
      <c r="AD35" s="151">
        <f>SUM(AD4:AD34)</f>
        <v>836.96</v>
      </c>
      <c r="AE35" s="151" t="s">
        <v>112</v>
      </c>
      <c r="AF35" s="151">
        <f>SUM(AF4:AF34)</f>
        <v>4748.4400000000005</v>
      </c>
      <c r="AG35" s="151" t="s">
        <v>112</v>
      </c>
      <c r="AH35" s="151">
        <f>SUM(AH4:AH34)</f>
        <v>3.48</v>
      </c>
      <c r="AI35" s="151" t="s">
        <v>112</v>
      </c>
      <c r="AK35" s="81"/>
      <c r="AL35" s="18">
        <f>SUM(AL4:AL34)/H35</f>
        <v>516.2744041472771</v>
      </c>
      <c r="AM35" s="29">
        <f>SUM(AM4:AM34)</f>
        <v>308.08500000000004</v>
      </c>
      <c r="AN35" s="29">
        <f>SUM(AN4:AN34)</f>
        <v>309.40000000000009</v>
      </c>
    </row>
    <row r="36" spans="1:45" s="6" customFormat="1" ht="23.25">
      <c r="A36" s="24"/>
      <c r="B36" s="24"/>
      <c r="C36" s="24"/>
      <c r="D36" s="24"/>
      <c r="E36" s="165"/>
      <c r="F36" s="197" t="s">
        <v>113</v>
      </c>
      <c r="G36" s="197"/>
      <c r="H36" s="150"/>
      <c r="I36" s="150"/>
      <c r="J36" s="150"/>
      <c r="K36" s="150"/>
      <c r="L36" s="150"/>
      <c r="M36" s="151" t="s">
        <v>112</v>
      </c>
      <c r="N36" s="151" t="s">
        <v>112</v>
      </c>
      <c r="O36" s="151" t="s">
        <v>112</v>
      </c>
      <c r="P36" s="151" t="s">
        <v>112</v>
      </c>
      <c r="Q36" s="151">
        <f>SUMPRODUCT(Q4:Q34,H4:H34)/H35</f>
        <v>3.0832172710130212</v>
      </c>
      <c r="R36" s="151" t="s">
        <v>112</v>
      </c>
      <c r="S36" s="151" t="s">
        <v>112</v>
      </c>
      <c r="T36" s="151" t="s">
        <v>112</v>
      </c>
      <c r="U36" s="151" t="s">
        <v>112</v>
      </c>
      <c r="V36" s="14">
        <v>18.16</v>
      </c>
      <c r="W36" s="151" t="s">
        <v>112</v>
      </c>
      <c r="X36" s="151" t="s">
        <v>112</v>
      </c>
      <c r="Y36" s="151" t="s">
        <v>112</v>
      </c>
      <c r="Z36" s="151">
        <f>SUMPRODUCT(Z4:Z34,H4:H34)/H35</f>
        <v>1.232580140031226</v>
      </c>
      <c r="AA36" s="151" t="s">
        <v>112</v>
      </c>
      <c r="AB36" s="151" t="s">
        <v>112</v>
      </c>
      <c r="AC36" s="151">
        <f>SUMPRODUCT(AC4:AC34,H4:H34)/H35</f>
        <v>0.43622457486731159</v>
      </c>
      <c r="AD36" s="151" t="s">
        <v>112</v>
      </c>
      <c r="AE36" s="151">
        <f>SUMPRODUCT(AE4:AE34,H4:H34)/H35</f>
        <v>7.249592353350065E-2</v>
      </c>
      <c r="AF36" s="151" t="s">
        <v>112</v>
      </c>
      <c r="AG36" s="151">
        <f>SUMPRODUCT(AG4:AG34,H4:H34)/H35</f>
        <v>0.41130106951755857</v>
      </c>
      <c r="AH36" s="151" t="s">
        <v>112</v>
      </c>
      <c r="AI36" s="151">
        <f>SUMPRODUCT(AO4:AO34,H4:H34)/H35</f>
        <v>0</v>
      </c>
      <c r="AK36" s="81"/>
      <c r="AM36" s="3">
        <f>((AM35-H35)/H35)*100</f>
        <v>-6.5998696396901604</v>
      </c>
      <c r="AN36" s="3">
        <f>((AN35-H35)/H35)*100</f>
        <v>-6.2012096224098245</v>
      </c>
    </row>
    <row r="45" spans="1:45" ht="23.25">
      <c r="A45" s="98" t="s">
        <v>218</v>
      </c>
      <c r="B45" s="98"/>
      <c r="C45" s="98"/>
      <c r="D45" s="98"/>
      <c r="E45" s="80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9"/>
      <c r="AF45" s="60"/>
      <c r="AG45" s="55"/>
      <c r="AI45" s="55"/>
      <c r="AJ45" s="55"/>
      <c r="AK45" s="55"/>
      <c r="AL45" s="45"/>
      <c r="AM45" s="45"/>
      <c r="AN45" s="45"/>
      <c r="AO45" s="45"/>
      <c r="AP45" s="45"/>
    </row>
    <row r="46" spans="1:45" ht="93" customHeight="1">
      <c r="A46" s="171" t="s">
        <v>117</v>
      </c>
      <c r="B46" s="171" t="s">
        <v>0</v>
      </c>
      <c r="C46" s="193" t="s">
        <v>1</v>
      </c>
      <c r="D46" s="195" t="s">
        <v>2</v>
      </c>
      <c r="E46" s="171" t="s">
        <v>3</v>
      </c>
      <c r="F46" s="171" t="s">
        <v>235</v>
      </c>
      <c r="G46" s="171" t="s">
        <v>236</v>
      </c>
      <c r="H46" s="190" t="s">
        <v>237</v>
      </c>
      <c r="I46" s="171" t="s">
        <v>5</v>
      </c>
      <c r="J46" s="171" t="s">
        <v>6</v>
      </c>
      <c r="K46" s="185" t="s">
        <v>7</v>
      </c>
      <c r="L46" s="171" t="s">
        <v>8</v>
      </c>
      <c r="M46" s="187" t="s">
        <v>238</v>
      </c>
      <c r="N46" s="188"/>
      <c r="O46" s="188"/>
      <c r="P46" s="189"/>
      <c r="Q46" s="183" t="s">
        <v>239</v>
      </c>
      <c r="R46" s="177" t="s">
        <v>242</v>
      </c>
      <c r="S46" s="178"/>
      <c r="T46" s="179"/>
      <c r="U46" s="183" t="s">
        <v>243</v>
      </c>
      <c r="V46" s="175" t="s">
        <v>205</v>
      </c>
      <c r="W46" s="175" t="s">
        <v>264</v>
      </c>
      <c r="X46" s="175" t="s">
        <v>265</v>
      </c>
      <c r="Y46" s="131" t="s">
        <v>206</v>
      </c>
      <c r="Z46" s="175" t="s">
        <v>207</v>
      </c>
      <c r="AA46" s="175" t="s">
        <v>266</v>
      </c>
      <c r="AB46" s="175" t="s">
        <v>250</v>
      </c>
      <c r="AC46" s="168" t="s">
        <v>212</v>
      </c>
      <c r="AD46" s="64"/>
      <c r="AE46" s="64"/>
      <c r="AF46" s="64"/>
      <c r="AG46" s="55"/>
      <c r="AH46" s="59"/>
      <c r="AI46" s="60"/>
      <c r="AJ46" s="55"/>
      <c r="AK46" s="80"/>
      <c r="AL46" s="55"/>
      <c r="AM46" s="55"/>
      <c r="AN46" s="55"/>
      <c r="AO46" s="45"/>
      <c r="AP46" s="45"/>
      <c r="AQ46" s="45"/>
      <c r="AR46" s="45"/>
      <c r="AS46" s="45"/>
    </row>
    <row r="47" spans="1:45" ht="23.25">
      <c r="A47" s="172"/>
      <c r="B47" s="172"/>
      <c r="C47" s="194"/>
      <c r="D47" s="196"/>
      <c r="E47" s="172"/>
      <c r="F47" s="172"/>
      <c r="G47" s="172"/>
      <c r="H47" s="191"/>
      <c r="I47" s="172"/>
      <c r="J47" s="172"/>
      <c r="K47" s="186"/>
      <c r="L47" s="172"/>
      <c r="M47" s="143" t="s">
        <v>253</v>
      </c>
      <c r="N47" s="144" t="s">
        <v>254</v>
      </c>
      <c r="O47" s="144" t="s">
        <v>255</v>
      </c>
      <c r="P47" s="143" t="s">
        <v>256</v>
      </c>
      <c r="Q47" s="184"/>
      <c r="R47" s="143" t="s">
        <v>261</v>
      </c>
      <c r="S47" s="144" t="s">
        <v>262</v>
      </c>
      <c r="T47" s="143" t="s">
        <v>263</v>
      </c>
      <c r="U47" s="184"/>
      <c r="V47" s="176"/>
      <c r="W47" s="176"/>
      <c r="X47" s="176"/>
      <c r="Y47" s="132"/>
      <c r="Z47" s="176"/>
      <c r="AA47" s="176"/>
      <c r="AB47" s="176"/>
      <c r="AC47" s="135" t="s">
        <v>267</v>
      </c>
      <c r="AD47" s="65"/>
      <c r="AE47" s="65"/>
      <c r="AF47" s="65"/>
      <c r="AG47" s="55"/>
      <c r="AH47" s="59"/>
      <c r="AI47" s="60"/>
      <c r="AJ47" s="55"/>
      <c r="AK47" s="80"/>
      <c r="AL47" s="55"/>
      <c r="AM47" s="55"/>
      <c r="AN47" s="55"/>
      <c r="AO47" s="45"/>
      <c r="AP47" s="45"/>
      <c r="AQ47" s="45"/>
      <c r="AR47" s="45"/>
      <c r="AS47" s="45"/>
    </row>
    <row r="48" spans="1:45" s="112" customFormat="1" ht="27" customHeight="1">
      <c r="A48" s="34" t="s">
        <v>9</v>
      </c>
      <c r="B48" s="34">
        <v>421</v>
      </c>
      <c r="C48" s="25">
        <v>304</v>
      </c>
      <c r="D48" s="34">
        <v>301</v>
      </c>
      <c r="E48" s="34" t="s">
        <v>10</v>
      </c>
      <c r="F48" s="16">
        <v>49884</v>
      </c>
      <c r="G48" s="16">
        <v>67638</v>
      </c>
      <c r="H48" s="44">
        <v>17.754000000000001</v>
      </c>
      <c r="I48" s="34">
        <v>4</v>
      </c>
      <c r="J48" s="34" t="s">
        <v>226</v>
      </c>
      <c r="K48" s="107">
        <v>42227</v>
      </c>
      <c r="L48" s="13" t="s">
        <v>114</v>
      </c>
      <c r="M48" s="102">
        <v>5.681</v>
      </c>
      <c r="N48" s="102">
        <v>4.915</v>
      </c>
      <c r="O48" s="102">
        <v>3.8679999999999999</v>
      </c>
      <c r="P48" s="102">
        <v>3.29</v>
      </c>
      <c r="Q48" s="102">
        <v>3.0806900000000002</v>
      </c>
      <c r="R48" s="102">
        <v>0</v>
      </c>
      <c r="S48" s="102">
        <v>0</v>
      </c>
      <c r="T48" s="44">
        <v>17.754000000000001</v>
      </c>
      <c r="U48" s="102">
        <v>1.1007800000000001</v>
      </c>
      <c r="V48" s="108">
        <v>163</v>
      </c>
      <c r="W48" s="109">
        <v>33</v>
      </c>
      <c r="X48" s="109">
        <v>38</v>
      </c>
      <c r="Y48" s="109">
        <v>40</v>
      </c>
      <c r="Z48" s="109">
        <v>12</v>
      </c>
      <c r="AA48" s="110">
        <v>134.26</v>
      </c>
      <c r="AB48" s="110">
        <v>0.216</v>
      </c>
      <c r="AC48" s="111">
        <v>485</v>
      </c>
      <c r="AD48" s="92"/>
      <c r="AE48" s="92"/>
      <c r="AF48" s="92"/>
      <c r="AH48" s="113"/>
      <c r="AI48" s="114"/>
    </row>
    <row r="49" spans="1:45" ht="23.25">
      <c r="A49" s="56" t="s">
        <v>9</v>
      </c>
      <c r="B49" s="58">
        <v>421</v>
      </c>
      <c r="C49" s="58">
        <v>304</v>
      </c>
      <c r="D49" s="58">
        <v>301</v>
      </c>
      <c r="E49" s="58" t="s">
        <v>10</v>
      </c>
      <c r="F49" s="62" t="s">
        <v>208</v>
      </c>
      <c r="G49" s="62" t="s">
        <v>209</v>
      </c>
      <c r="H49" s="61">
        <v>1.9830000000000001</v>
      </c>
      <c r="I49" s="63">
        <v>4</v>
      </c>
      <c r="J49" s="58" t="s">
        <v>226</v>
      </c>
      <c r="K49" s="57">
        <v>42227</v>
      </c>
      <c r="L49" s="56" t="s">
        <v>210</v>
      </c>
      <c r="M49" s="139">
        <v>0.42799999999999999</v>
      </c>
      <c r="N49" s="139">
        <v>0.253</v>
      </c>
      <c r="O49" s="139">
        <v>0.36899999999999999</v>
      </c>
      <c r="P49" s="139">
        <v>0.93300000000000005</v>
      </c>
      <c r="Q49" s="101">
        <v>4.0884999999999998</v>
      </c>
      <c r="R49" s="101">
        <v>0</v>
      </c>
      <c r="S49" s="101">
        <v>0</v>
      </c>
      <c r="T49" s="88">
        <v>1.9830000000000001</v>
      </c>
      <c r="U49" s="101">
        <v>1.0209999999999999</v>
      </c>
      <c r="V49" s="95">
        <v>53</v>
      </c>
      <c r="W49" s="97">
        <v>17</v>
      </c>
      <c r="X49" s="95">
        <v>9</v>
      </c>
      <c r="Y49" s="95">
        <v>13</v>
      </c>
      <c r="Z49" s="95">
        <v>0</v>
      </c>
      <c r="AA49" s="101">
        <v>36.43</v>
      </c>
      <c r="AB49" s="101">
        <v>0.52489013759815573</v>
      </c>
      <c r="AC49" s="95">
        <v>33</v>
      </c>
      <c r="AD49" s="66"/>
      <c r="AE49" s="66"/>
      <c r="AF49" s="66"/>
      <c r="AG49" s="55"/>
      <c r="AH49" s="59"/>
      <c r="AI49" s="60"/>
      <c r="AJ49" s="55"/>
      <c r="AK49" s="80"/>
      <c r="AL49" s="55"/>
      <c r="AM49" s="55"/>
      <c r="AN49" s="55"/>
      <c r="AO49" s="45"/>
      <c r="AP49" s="45"/>
      <c r="AQ49" s="45"/>
      <c r="AR49" s="45"/>
      <c r="AS49" s="45"/>
    </row>
    <row r="50" spans="1:45" ht="23.25">
      <c r="A50" s="56" t="s">
        <v>9</v>
      </c>
      <c r="B50" s="58">
        <v>421</v>
      </c>
      <c r="C50" s="58">
        <v>304</v>
      </c>
      <c r="D50" s="58">
        <v>301</v>
      </c>
      <c r="E50" s="58" t="s">
        <v>10</v>
      </c>
      <c r="F50" s="62" t="s">
        <v>209</v>
      </c>
      <c r="G50" s="62" t="s">
        <v>208</v>
      </c>
      <c r="H50" s="61">
        <v>1.9830000000000001</v>
      </c>
      <c r="I50" s="63">
        <v>4</v>
      </c>
      <c r="J50" s="58" t="s">
        <v>94</v>
      </c>
      <c r="K50" s="57">
        <v>42227</v>
      </c>
      <c r="L50" s="56" t="s">
        <v>210</v>
      </c>
      <c r="M50" s="139">
        <v>0.64800000000000002</v>
      </c>
      <c r="N50" s="139">
        <v>0.30399999999999999</v>
      </c>
      <c r="O50" s="139">
        <v>0.38400000000000001</v>
      </c>
      <c r="P50" s="139">
        <v>0.64800000000000002</v>
      </c>
      <c r="Q50" s="101">
        <v>3.77</v>
      </c>
      <c r="R50" s="101">
        <v>0</v>
      </c>
      <c r="S50" s="101">
        <v>0</v>
      </c>
      <c r="T50" s="88">
        <v>1.9830000000000001</v>
      </c>
      <c r="U50" s="101">
        <v>1.1040000000000001</v>
      </c>
      <c r="V50" s="95">
        <v>38</v>
      </c>
      <c r="W50" s="95">
        <v>12</v>
      </c>
      <c r="X50" s="95">
        <v>19</v>
      </c>
      <c r="Y50" s="95">
        <v>8</v>
      </c>
      <c r="Z50" s="95">
        <v>0</v>
      </c>
      <c r="AA50" s="101">
        <v>104.33</v>
      </c>
      <c r="AB50" s="101">
        <v>1.5032058209062746</v>
      </c>
      <c r="AC50" s="95">
        <v>8</v>
      </c>
      <c r="AD50" s="66"/>
      <c r="AE50" s="66"/>
      <c r="AF50" s="66"/>
      <c r="AG50" s="55"/>
      <c r="AH50" s="59"/>
      <c r="AI50" s="60"/>
      <c r="AJ50" s="55"/>
      <c r="AK50" s="80"/>
      <c r="AL50" s="55"/>
      <c r="AM50" s="55"/>
      <c r="AN50" s="55"/>
      <c r="AO50" s="45"/>
      <c r="AP50" s="45"/>
      <c r="AQ50" s="45"/>
      <c r="AR50" s="45"/>
      <c r="AS50" s="45"/>
    </row>
    <row r="51" spans="1:45" ht="23.25">
      <c r="A51" s="56" t="s">
        <v>9</v>
      </c>
      <c r="B51" s="58">
        <v>421</v>
      </c>
      <c r="C51" s="58">
        <v>304</v>
      </c>
      <c r="D51" s="58">
        <v>301</v>
      </c>
      <c r="E51" s="58" t="s">
        <v>10</v>
      </c>
      <c r="F51" s="62" t="s">
        <v>211</v>
      </c>
      <c r="G51" s="62" t="s">
        <v>209</v>
      </c>
      <c r="H51" s="61">
        <v>0.28699999999999998</v>
      </c>
      <c r="I51" s="63">
        <v>4</v>
      </c>
      <c r="J51" s="58" t="s">
        <v>226</v>
      </c>
      <c r="K51" s="57">
        <v>42227</v>
      </c>
      <c r="L51" s="56" t="s">
        <v>210</v>
      </c>
      <c r="M51" s="139">
        <v>0.221</v>
      </c>
      <c r="N51" s="139">
        <v>4.3999999999999997E-2</v>
      </c>
      <c r="O51" s="139">
        <v>2.1999999999999999E-2</v>
      </c>
      <c r="P51" s="139">
        <v>0</v>
      </c>
      <c r="Q51" s="101">
        <v>2.4373900000000002</v>
      </c>
      <c r="R51" s="101">
        <v>0</v>
      </c>
      <c r="S51" s="101">
        <v>0</v>
      </c>
      <c r="T51" s="88">
        <v>0.28699999999999998</v>
      </c>
      <c r="U51" s="101">
        <v>0.97569600000000001</v>
      </c>
      <c r="V51" s="95">
        <v>0</v>
      </c>
      <c r="W51" s="95">
        <v>0</v>
      </c>
      <c r="X51" s="95">
        <v>0</v>
      </c>
      <c r="Y51" s="95">
        <v>0</v>
      </c>
      <c r="Z51" s="95">
        <v>0</v>
      </c>
      <c r="AA51" s="101">
        <v>0</v>
      </c>
      <c r="AB51" s="101">
        <v>0</v>
      </c>
      <c r="AC51" s="95">
        <v>2</v>
      </c>
      <c r="AD51" s="66"/>
      <c r="AE51" s="66"/>
      <c r="AF51" s="66"/>
      <c r="AG51" s="55"/>
      <c r="AH51" s="59"/>
      <c r="AI51" s="59"/>
      <c r="AJ51" s="55"/>
      <c r="AK51" s="80"/>
      <c r="AL51" s="55"/>
      <c r="AM51" s="55"/>
      <c r="AN51" s="55"/>
      <c r="AO51" s="45"/>
      <c r="AP51" s="45"/>
      <c r="AQ51" s="45"/>
      <c r="AR51" s="45"/>
      <c r="AS51" s="45"/>
    </row>
    <row r="52" spans="1:45" s="81" customFormat="1" ht="23.25">
      <c r="A52" s="82" t="s">
        <v>9</v>
      </c>
      <c r="B52" s="96">
        <v>421</v>
      </c>
      <c r="C52" s="96">
        <v>304</v>
      </c>
      <c r="D52" s="96">
        <v>301</v>
      </c>
      <c r="E52" s="96" t="s">
        <v>10</v>
      </c>
      <c r="F52" s="89" t="s">
        <v>209</v>
      </c>
      <c r="G52" s="89" t="s">
        <v>211</v>
      </c>
      <c r="H52" s="88">
        <v>0.28699999999999998</v>
      </c>
      <c r="I52" s="90">
        <v>4</v>
      </c>
      <c r="J52" s="96" t="s">
        <v>94</v>
      </c>
      <c r="K52" s="83">
        <v>42227</v>
      </c>
      <c r="L52" s="82" t="s">
        <v>210</v>
      </c>
      <c r="M52" s="139">
        <v>0.13200000000000001</v>
      </c>
      <c r="N52" s="139">
        <v>8.7999999999999995E-2</v>
      </c>
      <c r="O52" s="139">
        <v>2.1999999999999999E-2</v>
      </c>
      <c r="P52" s="139">
        <v>4.3999999999999997E-2</v>
      </c>
      <c r="Q52" s="101">
        <v>3.3169200000000001</v>
      </c>
      <c r="R52" s="101">
        <v>0</v>
      </c>
      <c r="S52" s="101">
        <v>0</v>
      </c>
      <c r="T52" s="88">
        <v>0.28699999999999998</v>
      </c>
      <c r="U52" s="101">
        <v>0.98323099999999997</v>
      </c>
      <c r="V52" s="95">
        <v>0</v>
      </c>
      <c r="W52" s="95">
        <v>0</v>
      </c>
      <c r="X52" s="95">
        <v>0</v>
      </c>
      <c r="Y52" s="95">
        <v>0</v>
      </c>
      <c r="Z52" s="95">
        <v>0</v>
      </c>
      <c r="AA52" s="101">
        <v>0</v>
      </c>
      <c r="AB52" s="101">
        <v>0</v>
      </c>
      <c r="AC52" s="95">
        <v>0</v>
      </c>
      <c r="AD52" s="93"/>
      <c r="AE52" s="93"/>
      <c r="AF52" s="93"/>
      <c r="AH52" s="86"/>
      <c r="AI52" s="86"/>
    </row>
    <row r="53" spans="1:45" s="81" customFormat="1" ht="23.25">
      <c r="E53" s="148"/>
      <c r="F53" s="181" t="s">
        <v>111</v>
      </c>
      <c r="G53" s="182"/>
      <c r="H53" s="161">
        <f>SUM(H48:H52)</f>
        <v>22.294</v>
      </c>
      <c r="I53" s="162"/>
      <c r="J53" s="162"/>
      <c r="K53" s="162"/>
      <c r="L53" s="162"/>
      <c r="M53" s="152">
        <f t="shared" ref="M53:P53" si="9">SUM(M48:M52)</f>
        <v>7.1099999999999994</v>
      </c>
      <c r="N53" s="152">
        <f t="shared" si="9"/>
        <v>5.6040000000000001</v>
      </c>
      <c r="O53" s="152">
        <f t="shared" si="9"/>
        <v>4.6650000000000009</v>
      </c>
      <c r="P53" s="152">
        <f t="shared" si="9"/>
        <v>4.9149999999999991</v>
      </c>
      <c r="Q53" s="152" t="s">
        <v>112</v>
      </c>
      <c r="R53" s="152">
        <f t="shared" ref="R53:S53" si="10">SUM(R48:R52)</f>
        <v>0</v>
      </c>
      <c r="S53" s="152">
        <f t="shared" si="10"/>
        <v>0</v>
      </c>
      <c r="T53" s="161">
        <f>SUM(T48:T52)</f>
        <v>22.294</v>
      </c>
      <c r="U53" s="152" t="s">
        <v>112</v>
      </c>
      <c r="V53" s="163">
        <v>91</v>
      </c>
      <c r="W53" s="163">
        <v>29</v>
      </c>
      <c r="X53" s="163">
        <v>28</v>
      </c>
      <c r="Y53" s="163">
        <v>21</v>
      </c>
      <c r="Z53" s="163">
        <v>0</v>
      </c>
      <c r="AA53" s="152">
        <v>140.76</v>
      </c>
      <c r="AB53" s="152" t="s">
        <v>112</v>
      </c>
      <c r="AC53" s="163">
        <v>43</v>
      </c>
      <c r="AD53" s="94"/>
      <c r="AE53" s="94"/>
      <c r="AF53" s="94"/>
    </row>
    <row r="54" spans="1:45" s="81" customFormat="1" ht="23.25">
      <c r="E54" s="148"/>
      <c r="F54" s="181" t="s">
        <v>113</v>
      </c>
      <c r="G54" s="182"/>
      <c r="H54" s="162"/>
      <c r="I54" s="162"/>
      <c r="J54" s="162"/>
      <c r="K54" s="162"/>
      <c r="L54" s="162"/>
      <c r="M54" s="152" t="s">
        <v>112</v>
      </c>
      <c r="N54" s="152" t="s">
        <v>112</v>
      </c>
      <c r="O54" s="152" t="s">
        <v>112</v>
      </c>
      <c r="P54" s="152" t="s">
        <v>112</v>
      </c>
      <c r="Q54" s="152">
        <f>SUMPRODUCT(Q48:Q52,H48:H52)/H53</f>
        <v>3.2264045361980802</v>
      </c>
      <c r="R54" s="152" t="s">
        <v>112</v>
      </c>
      <c r="S54" s="152" t="s">
        <v>112</v>
      </c>
      <c r="T54" s="152" t="s">
        <v>112</v>
      </c>
      <c r="U54" s="152">
        <f>SUMPRODUCT(U48:U52,H48:H52)/H53</f>
        <v>1.0908466479321792</v>
      </c>
      <c r="V54" s="161" t="s">
        <v>112</v>
      </c>
      <c r="W54" s="161" t="s">
        <v>112</v>
      </c>
      <c r="X54" s="161" t="s">
        <v>112</v>
      </c>
      <c r="Y54" s="161" t="s">
        <v>112</v>
      </c>
      <c r="Z54" s="161" t="s">
        <v>112</v>
      </c>
      <c r="AA54" s="152" t="s">
        <v>112</v>
      </c>
      <c r="AB54" s="152">
        <v>0.88584015103838887</v>
      </c>
      <c r="AC54" s="161" t="s">
        <v>112</v>
      </c>
      <c r="AD54" s="94"/>
      <c r="AE54" s="94"/>
      <c r="AF54" s="94"/>
    </row>
    <row r="55" spans="1:45" s="81" customFormat="1">
      <c r="M55" s="103"/>
      <c r="N55" s="103"/>
      <c r="O55" s="103"/>
      <c r="P55" s="103"/>
      <c r="Q55" s="103"/>
      <c r="R55" s="103"/>
    </row>
  </sheetData>
  <mergeCells count="54">
    <mergeCell ref="AH2:AH3"/>
    <mergeCell ref="AI2:AI3"/>
    <mergeCell ref="AE2:AE3"/>
    <mergeCell ref="AF2:AF3"/>
    <mergeCell ref="AA2:AA3"/>
    <mergeCell ref="AB2:AB3"/>
    <mergeCell ref="AC2:AC3"/>
    <mergeCell ref="AD2:AD3"/>
    <mergeCell ref="AG2:AG3"/>
    <mergeCell ref="G2:G3"/>
    <mergeCell ref="H2:H3"/>
    <mergeCell ref="I2:I3"/>
    <mergeCell ref="J2:J3"/>
    <mergeCell ref="K2:K3"/>
    <mergeCell ref="F2:F3"/>
    <mergeCell ref="M2:P2"/>
    <mergeCell ref="F54:G54"/>
    <mergeCell ref="A1:E1"/>
    <mergeCell ref="A46:A47"/>
    <mergeCell ref="B46:B47"/>
    <mergeCell ref="C46:C47"/>
    <mergeCell ref="D46:D47"/>
    <mergeCell ref="E46:E47"/>
    <mergeCell ref="F35:G35"/>
    <mergeCell ref="F36:G36"/>
    <mergeCell ref="A2:A3"/>
    <mergeCell ref="B2:B3"/>
    <mergeCell ref="C2:C3"/>
    <mergeCell ref="D2:D3"/>
    <mergeCell ref="E2:E3"/>
    <mergeCell ref="AA46:AA47"/>
    <mergeCell ref="AB46:AB47"/>
    <mergeCell ref="F53:G53"/>
    <mergeCell ref="U46:U47"/>
    <mergeCell ref="V46:V47"/>
    <mergeCell ref="W46:W47"/>
    <mergeCell ref="X46:X47"/>
    <mergeCell ref="J46:J47"/>
    <mergeCell ref="K46:K47"/>
    <mergeCell ref="L46:L47"/>
    <mergeCell ref="M46:P46"/>
    <mergeCell ref="Q46:Q47"/>
    <mergeCell ref="F46:F47"/>
    <mergeCell ref="G46:G47"/>
    <mergeCell ref="R46:T46"/>
    <mergeCell ref="H46:H47"/>
    <mergeCell ref="I46:I47"/>
    <mergeCell ref="Q2:Q3"/>
    <mergeCell ref="R2:U2"/>
    <mergeCell ref="Z46:Z47"/>
    <mergeCell ref="V2:V3"/>
    <mergeCell ref="W2:Y2"/>
    <mergeCell ref="L2:L3"/>
    <mergeCell ref="Z2:Z3"/>
  </mergeCells>
  <printOptions horizontalCentered="1"/>
  <pageMargins left="0.64052083333333332" right="0.25" top="0.75" bottom="0.75" header="0.3" footer="0.3"/>
  <pageSetup paperSize="8" scale="38" fitToHeight="0" orientation="landscape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7"/>
  <sheetViews>
    <sheetView view="pageLayout" topLeftCell="V13" zoomScaleNormal="90" workbookViewId="0">
      <selection activeCell="AG31" sqref="AG31"/>
    </sheetView>
  </sheetViews>
  <sheetFormatPr defaultRowHeight="14.25"/>
  <cols>
    <col min="1" max="1" width="28.375" customWidth="1"/>
    <col min="5" max="5" width="26.8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0" customWidth="1"/>
    <col min="35" max="35" width="9" customWidth="1"/>
    <col min="36" max="37" width="9.25" bestFit="1" customWidth="1"/>
    <col min="38" max="38" width="10.875" style="32" customWidth="1"/>
    <col min="40" max="40" width="9.25" bestFit="1" customWidth="1"/>
  </cols>
  <sheetData>
    <row r="1" spans="1:50" s="1" customFormat="1" ht="24" customHeight="1">
      <c r="A1" s="192" t="s">
        <v>219</v>
      </c>
      <c r="B1" s="192"/>
      <c r="C1" s="192"/>
      <c r="D1" s="192"/>
      <c r="E1" s="19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80"/>
      <c r="AL1" s="23"/>
    </row>
    <row r="2" spans="1:50" s="1" customFormat="1" ht="30.75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244</v>
      </c>
      <c r="AB2" s="202" t="s">
        <v>245</v>
      </c>
      <c r="AC2" s="203" t="s">
        <v>246</v>
      </c>
      <c r="AD2" s="175" t="s">
        <v>247</v>
      </c>
      <c r="AE2" s="183" t="s">
        <v>248</v>
      </c>
      <c r="AF2" s="175" t="s">
        <v>249</v>
      </c>
      <c r="AG2" s="203" t="s">
        <v>250</v>
      </c>
      <c r="AH2" s="175" t="s">
        <v>251</v>
      </c>
      <c r="AI2" s="175" t="s">
        <v>252</v>
      </c>
      <c r="AK2" s="80"/>
      <c r="AO2" s="190" t="s">
        <v>4</v>
      </c>
    </row>
    <row r="3" spans="1:50" s="1" customFormat="1" ht="46.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  <c r="AO3" s="191"/>
    </row>
    <row r="4" spans="1:50" s="81" customFormat="1" ht="23.25">
      <c r="A4" s="82" t="s">
        <v>27</v>
      </c>
      <c r="B4" s="82">
        <v>422</v>
      </c>
      <c r="C4" s="25">
        <v>315</v>
      </c>
      <c r="D4" s="82">
        <v>200</v>
      </c>
      <c r="E4" s="82" t="s">
        <v>28</v>
      </c>
      <c r="F4" s="36">
        <v>19440</v>
      </c>
      <c r="G4" s="36" t="s">
        <v>124</v>
      </c>
      <c r="H4" s="115">
        <v>3.75</v>
      </c>
      <c r="I4" s="34">
        <v>4</v>
      </c>
      <c r="J4" s="82" t="s">
        <v>227</v>
      </c>
      <c r="K4" s="83">
        <v>42229</v>
      </c>
      <c r="L4" s="13" t="s">
        <v>114</v>
      </c>
      <c r="M4" s="147">
        <v>1.8340000000000001</v>
      </c>
      <c r="N4" s="147">
        <v>1.024</v>
      </c>
      <c r="O4" s="147">
        <v>0.5</v>
      </c>
      <c r="P4" s="147">
        <v>0.39300000000000002</v>
      </c>
      <c r="Q4" s="147">
        <v>2.98</v>
      </c>
      <c r="R4" s="147">
        <v>3.2170000000000001</v>
      </c>
      <c r="S4" s="147">
        <v>0.432</v>
      </c>
      <c r="T4" s="147">
        <v>6.0999999999999999E-2</v>
      </c>
      <c r="U4" s="147">
        <v>0.04</v>
      </c>
      <c r="V4" s="147">
        <v>7.0579999999999998</v>
      </c>
      <c r="W4" s="147">
        <v>0</v>
      </c>
      <c r="X4" s="147">
        <v>0</v>
      </c>
      <c r="Y4" s="140">
        <v>3.75</v>
      </c>
      <c r="Z4" s="147">
        <v>1.173</v>
      </c>
      <c r="AA4" s="100">
        <v>0.65</v>
      </c>
      <c r="AB4" s="147">
        <v>1.76</v>
      </c>
      <c r="AC4" s="99">
        <f>(AA4+AB4*0.5)/(3.5*H4*1000)*100</f>
        <v>1.1657142857142857E-2</v>
      </c>
      <c r="AD4" s="99">
        <v>34.26</v>
      </c>
      <c r="AE4" s="99">
        <f>AD4/(3.5*H4*1000)*100</f>
        <v>0.26102857142857144</v>
      </c>
      <c r="AF4" s="99">
        <v>87.96</v>
      </c>
      <c r="AG4" s="99">
        <f>AF4/(3.5*H4*1000)*100</f>
        <v>0.67017142857142853</v>
      </c>
      <c r="AH4" s="99">
        <v>0</v>
      </c>
      <c r="AI4" s="84">
        <f>AH4/(3.5*H4*1000)*100</f>
        <v>0</v>
      </c>
      <c r="AK4" s="81">
        <f>AB4*0.5</f>
        <v>0.88</v>
      </c>
      <c r="AL4" s="5">
        <f t="shared" ref="AL4:AL23" si="0">(AA4+AD4+AF4+AH4+AK4)*H4</f>
        <v>464.06249999999994</v>
      </c>
      <c r="AM4" s="3">
        <f t="shared" ref="AM4:AM23" si="1">SUM(M4:P4)</f>
        <v>3.7510000000000003</v>
      </c>
      <c r="AN4" s="3">
        <f>SUM(R4:U4)</f>
        <v>3.75</v>
      </c>
      <c r="AO4" s="34">
        <v>12.31</v>
      </c>
      <c r="AQ4" s="29">
        <f>AO4-AM4</f>
        <v>8.5590000000000011</v>
      </c>
      <c r="AR4" s="5">
        <f t="shared" ref="AR4:AR23" si="2">SUM(M4:P4)</f>
        <v>3.7510000000000003</v>
      </c>
      <c r="AS4" s="5">
        <f t="shared" ref="AS4" si="3">SUM(R4:U4)</f>
        <v>3.75</v>
      </c>
      <c r="AT4" s="5">
        <f t="shared" ref="AT4" si="4">SUM(W4:Y4)</f>
        <v>3.75</v>
      </c>
      <c r="AV4" s="81">
        <f t="shared" ref="AV4:AV23" si="5">H4/AR4</f>
        <v>0.99973340442548642</v>
      </c>
      <c r="AW4" s="81">
        <f t="shared" ref="AW4:AW23" si="6">H4/AS4</f>
        <v>1</v>
      </c>
      <c r="AX4" s="81">
        <f t="shared" ref="AX4:AX23" si="7">H4/AT4</f>
        <v>1</v>
      </c>
    </row>
    <row r="5" spans="1:50" s="81" customFormat="1" ht="23.25" hidden="1" customHeight="1">
      <c r="A5" s="82" t="s">
        <v>27</v>
      </c>
      <c r="B5" s="82">
        <v>422</v>
      </c>
      <c r="C5" s="25">
        <v>315</v>
      </c>
      <c r="D5" s="82">
        <v>200</v>
      </c>
      <c r="E5" s="82" t="s">
        <v>28</v>
      </c>
      <c r="F5" s="36" t="s">
        <v>124</v>
      </c>
      <c r="G5" s="36">
        <v>19440</v>
      </c>
      <c r="H5" s="140">
        <v>3.75</v>
      </c>
      <c r="I5" s="34">
        <v>4</v>
      </c>
      <c r="J5" s="82" t="s">
        <v>94</v>
      </c>
      <c r="K5" s="83">
        <v>42229</v>
      </c>
      <c r="L5" s="13" t="s">
        <v>114</v>
      </c>
      <c r="M5" s="147">
        <v>0</v>
      </c>
      <c r="N5" s="147">
        <v>0</v>
      </c>
      <c r="O5" s="147">
        <v>0</v>
      </c>
      <c r="P5" s="147">
        <v>0</v>
      </c>
      <c r="Q5" s="147">
        <v>0</v>
      </c>
      <c r="R5" s="147">
        <v>0</v>
      </c>
      <c r="S5" s="147">
        <v>0</v>
      </c>
      <c r="T5" s="147">
        <v>0</v>
      </c>
      <c r="U5" s="147">
        <v>0</v>
      </c>
      <c r="V5" s="147">
        <v>0</v>
      </c>
      <c r="W5" s="147">
        <v>0</v>
      </c>
      <c r="X5" s="147">
        <v>0</v>
      </c>
      <c r="Y5" s="140">
        <v>3.75</v>
      </c>
      <c r="Z5" s="147">
        <v>0</v>
      </c>
      <c r="AA5" s="147">
        <v>0</v>
      </c>
      <c r="AB5" s="147">
        <v>0</v>
      </c>
      <c r="AC5" s="99">
        <v>0</v>
      </c>
      <c r="AD5" s="99">
        <v>0</v>
      </c>
      <c r="AE5" s="99">
        <v>0</v>
      </c>
      <c r="AF5" s="99">
        <v>0</v>
      </c>
      <c r="AG5" s="99">
        <v>0</v>
      </c>
      <c r="AH5" s="99">
        <v>0</v>
      </c>
      <c r="AI5" s="99">
        <v>0</v>
      </c>
      <c r="AK5" s="81">
        <f t="shared" ref="AK5:AK23" si="8">AB5*0.5</f>
        <v>0</v>
      </c>
      <c r="AL5" s="5">
        <f t="shared" si="0"/>
        <v>0</v>
      </c>
      <c r="AM5" s="3">
        <f t="shared" si="1"/>
        <v>0</v>
      </c>
      <c r="AN5" s="3">
        <f>SUM(R5:U5)</f>
        <v>0</v>
      </c>
      <c r="AO5" s="34">
        <v>12.31</v>
      </c>
      <c r="AQ5" s="29">
        <f t="shared" ref="AQ5:AQ23" si="9">AO5-AM5</f>
        <v>12.31</v>
      </c>
      <c r="AR5" s="5">
        <f t="shared" si="2"/>
        <v>0</v>
      </c>
      <c r="AS5" s="5">
        <f t="shared" ref="AS5:AS23" si="10">SUM(R5:U5)</f>
        <v>0</v>
      </c>
      <c r="AT5" s="5">
        <f t="shared" ref="AT5:AT23" si="11">SUM(W5:Y5)</f>
        <v>3.75</v>
      </c>
      <c r="AV5" s="81" t="e">
        <f t="shared" si="5"/>
        <v>#DIV/0!</v>
      </c>
      <c r="AW5" s="81" t="e">
        <f t="shared" si="6"/>
        <v>#DIV/0!</v>
      </c>
      <c r="AX5" s="81">
        <f t="shared" si="7"/>
        <v>1</v>
      </c>
    </row>
    <row r="6" spans="1:50" s="81" customFormat="1" ht="23.25">
      <c r="A6" s="82" t="s">
        <v>27</v>
      </c>
      <c r="B6" s="82">
        <v>422</v>
      </c>
      <c r="C6" s="25">
        <v>315</v>
      </c>
      <c r="D6" s="82">
        <v>200</v>
      </c>
      <c r="E6" s="82" t="s">
        <v>28</v>
      </c>
      <c r="F6" s="36" t="s">
        <v>124</v>
      </c>
      <c r="G6" s="36">
        <v>44551</v>
      </c>
      <c r="H6" s="115">
        <v>20.437999999999999</v>
      </c>
      <c r="I6" s="34">
        <v>4</v>
      </c>
      <c r="J6" s="82" t="s">
        <v>226</v>
      </c>
      <c r="K6" s="83">
        <v>42229</v>
      </c>
      <c r="L6" s="13" t="s">
        <v>114</v>
      </c>
      <c r="M6" s="147">
        <v>1.23</v>
      </c>
      <c r="N6" s="147">
        <v>4.1399999999999997</v>
      </c>
      <c r="O6" s="147">
        <v>11.28</v>
      </c>
      <c r="P6" s="147">
        <v>3.79</v>
      </c>
      <c r="Q6" s="147">
        <v>3.2909299999999999</v>
      </c>
      <c r="R6" s="147">
        <v>18.71</v>
      </c>
      <c r="S6" s="147">
        <v>1.41</v>
      </c>
      <c r="T6" s="147">
        <v>0.2</v>
      </c>
      <c r="U6" s="147">
        <v>0.13</v>
      </c>
      <c r="V6" s="147">
        <v>7.9422600000000001</v>
      </c>
      <c r="W6" s="147">
        <v>0</v>
      </c>
      <c r="X6" s="147">
        <v>0</v>
      </c>
      <c r="Y6" s="140">
        <v>20.437999999999999</v>
      </c>
      <c r="Z6" s="147">
        <v>1.1484399999999999</v>
      </c>
      <c r="AA6" s="100">
        <v>10.02</v>
      </c>
      <c r="AB6" s="147">
        <v>3.7210000000000001</v>
      </c>
      <c r="AC6" s="99">
        <f>(AA6+AB6*0.5)/(3.5*H6*1000)*100</f>
        <v>1.6608418492164455E-2</v>
      </c>
      <c r="AD6" s="99">
        <v>0</v>
      </c>
      <c r="AE6" s="99">
        <f>AD6/(3.5*H6*1000)*100</f>
        <v>0</v>
      </c>
      <c r="AF6" s="99">
        <v>78.94</v>
      </c>
      <c r="AG6" s="99">
        <f>AF6/(3.5*H6*1000)*100</f>
        <v>0.11035466148490906</v>
      </c>
      <c r="AH6" s="99">
        <v>0</v>
      </c>
      <c r="AI6" s="84">
        <v>0</v>
      </c>
      <c r="AK6" s="81">
        <f t="shared" si="8"/>
        <v>1.8605</v>
      </c>
      <c r="AL6" s="5">
        <f t="shared" si="0"/>
        <v>1856.1893789999999</v>
      </c>
      <c r="AM6" s="3">
        <f t="shared" si="1"/>
        <v>20.439999999999998</v>
      </c>
      <c r="AN6" s="3">
        <f>SUM(R6:U6)</f>
        <v>20.45</v>
      </c>
      <c r="AO6" s="34">
        <v>20.437999999999999</v>
      </c>
      <c r="AQ6" s="29">
        <f t="shared" si="9"/>
        <v>-1.9999999999988916E-3</v>
      </c>
      <c r="AR6" s="5">
        <f t="shared" si="2"/>
        <v>20.439999999999998</v>
      </c>
      <c r="AS6" s="5">
        <f t="shared" si="10"/>
        <v>20.45</v>
      </c>
      <c r="AT6" s="5">
        <f t="shared" si="11"/>
        <v>20.437999999999999</v>
      </c>
      <c r="AV6" s="81">
        <f t="shared" si="5"/>
        <v>0.99990215264187876</v>
      </c>
      <c r="AW6" s="81">
        <f t="shared" si="6"/>
        <v>0.99941320293398528</v>
      </c>
      <c r="AX6" s="81">
        <f t="shared" si="7"/>
        <v>1</v>
      </c>
    </row>
    <row r="7" spans="1:50" s="81" customFormat="1" ht="23.25">
      <c r="A7" s="82" t="s">
        <v>27</v>
      </c>
      <c r="B7" s="82">
        <v>422</v>
      </c>
      <c r="C7" s="25">
        <v>315</v>
      </c>
      <c r="D7" s="82">
        <v>200</v>
      </c>
      <c r="E7" s="82" t="s">
        <v>28</v>
      </c>
      <c r="F7" s="36">
        <v>44551</v>
      </c>
      <c r="G7" s="36" t="s">
        <v>124</v>
      </c>
      <c r="H7" s="115">
        <v>20.437999999999999</v>
      </c>
      <c r="I7" s="34">
        <v>4</v>
      </c>
      <c r="J7" s="82" t="s">
        <v>94</v>
      </c>
      <c r="K7" s="83">
        <v>42229</v>
      </c>
      <c r="L7" s="13" t="s">
        <v>114</v>
      </c>
      <c r="M7" s="147">
        <v>10.7</v>
      </c>
      <c r="N7" s="147">
        <v>5.46</v>
      </c>
      <c r="O7" s="147">
        <v>3.01</v>
      </c>
      <c r="P7" s="147">
        <v>1.27</v>
      </c>
      <c r="Q7" s="147">
        <v>3.7509999999999999</v>
      </c>
      <c r="R7" s="147">
        <v>18.95</v>
      </c>
      <c r="S7" s="147">
        <v>1.1000000000000001</v>
      </c>
      <c r="T7" s="147">
        <v>0.38</v>
      </c>
      <c r="U7" s="147">
        <v>0.03</v>
      </c>
      <c r="V7" s="147">
        <v>6.2069999999999999</v>
      </c>
      <c r="W7" s="147">
        <v>0</v>
      </c>
      <c r="X7" s="147">
        <v>0</v>
      </c>
      <c r="Y7" s="140">
        <v>20.437999999999999</v>
      </c>
      <c r="Z7" s="147">
        <v>1.1639999999999999</v>
      </c>
      <c r="AA7" s="100">
        <v>8.14</v>
      </c>
      <c r="AB7" s="147">
        <v>2.8460000000000001</v>
      </c>
      <c r="AC7" s="99">
        <f>(AA7+AB7*0.5)/(3.5*H7*1000)*100</f>
        <v>1.3368655026351477E-2</v>
      </c>
      <c r="AD7" s="99">
        <v>0</v>
      </c>
      <c r="AE7" s="99">
        <f>AD7/(3.5*H7*1000)*100</f>
        <v>0</v>
      </c>
      <c r="AF7" s="99">
        <v>80.265000000000001</v>
      </c>
      <c r="AG7" s="99">
        <f>AF7/(3.5*H7*1000)*100</f>
        <v>0.11220695343407937</v>
      </c>
      <c r="AH7" s="99">
        <v>0</v>
      </c>
      <c r="AI7" s="84">
        <v>0</v>
      </c>
      <c r="AK7" s="81">
        <f t="shared" si="8"/>
        <v>1.423</v>
      </c>
      <c r="AL7" s="5">
        <f t="shared" si="0"/>
        <v>1835.9046639999999</v>
      </c>
      <c r="AM7" s="3">
        <f t="shared" si="1"/>
        <v>20.440000000000001</v>
      </c>
      <c r="AN7" s="3">
        <f>SUM(R7:U7)</f>
        <v>20.46</v>
      </c>
      <c r="AO7" s="34">
        <v>20.437999999999999</v>
      </c>
      <c r="AQ7" s="29">
        <f t="shared" si="9"/>
        <v>-2.0000000000024443E-3</v>
      </c>
      <c r="AR7" s="5">
        <f t="shared" si="2"/>
        <v>20.440000000000001</v>
      </c>
      <c r="AS7" s="5">
        <f t="shared" si="10"/>
        <v>20.46</v>
      </c>
      <c r="AT7" s="5">
        <f t="shared" si="11"/>
        <v>20.437999999999999</v>
      </c>
      <c r="AV7" s="81">
        <f t="shared" si="5"/>
        <v>0.99990215264187854</v>
      </c>
      <c r="AW7" s="81">
        <f t="shared" si="6"/>
        <v>0.99892473118279557</v>
      </c>
      <c r="AX7" s="81">
        <f t="shared" si="7"/>
        <v>1</v>
      </c>
    </row>
    <row r="8" spans="1:50" s="81" customFormat="1" ht="23.25">
      <c r="A8" s="82" t="s">
        <v>27</v>
      </c>
      <c r="B8" s="82">
        <v>422</v>
      </c>
      <c r="C8" s="25">
        <v>349</v>
      </c>
      <c r="D8" s="82">
        <v>100</v>
      </c>
      <c r="E8" s="82" t="s">
        <v>29</v>
      </c>
      <c r="F8" s="36">
        <v>164</v>
      </c>
      <c r="G8" s="36">
        <v>17484</v>
      </c>
      <c r="H8" s="44">
        <v>17.32</v>
      </c>
      <c r="I8" s="34">
        <v>2</v>
      </c>
      <c r="J8" s="82" t="s">
        <v>227</v>
      </c>
      <c r="K8" s="83">
        <v>42229</v>
      </c>
      <c r="L8" s="13" t="s">
        <v>114</v>
      </c>
      <c r="M8" s="147">
        <v>10.66</v>
      </c>
      <c r="N8" s="147">
        <v>4.6900000000000004</v>
      </c>
      <c r="O8" s="147">
        <v>1.34</v>
      </c>
      <c r="P8" s="147">
        <v>0.63</v>
      </c>
      <c r="Q8" s="147">
        <v>4.1092899999999997</v>
      </c>
      <c r="R8" s="147">
        <v>16.5</v>
      </c>
      <c r="S8" s="147">
        <v>0.6</v>
      </c>
      <c r="T8" s="147">
        <v>0.15</v>
      </c>
      <c r="U8" s="147">
        <v>0.08</v>
      </c>
      <c r="V8" s="147">
        <v>8.9369099999999992</v>
      </c>
      <c r="W8" s="147">
        <v>0</v>
      </c>
      <c r="X8" s="147">
        <v>0</v>
      </c>
      <c r="Y8" s="44">
        <v>17.32</v>
      </c>
      <c r="Z8" s="147">
        <v>1.2760100000000001</v>
      </c>
      <c r="AA8" s="100">
        <v>492.54</v>
      </c>
      <c r="AB8" s="147">
        <v>0</v>
      </c>
      <c r="AC8" s="99">
        <v>0.8125</v>
      </c>
      <c r="AD8" s="99">
        <v>0</v>
      </c>
      <c r="AE8" s="99">
        <v>0</v>
      </c>
      <c r="AF8" s="99">
        <v>273</v>
      </c>
      <c r="AG8" s="99">
        <v>0.45034600000000002</v>
      </c>
      <c r="AH8" s="99">
        <v>0</v>
      </c>
      <c r="AI8" s="84">
        <v>0</v>
      </c>
      <c r="AK8" s="81">
        <f t="shared" si="8"/>
        <v>0</v>
      </c>
      <c r="AL8" s="5">
        <f t="shared" si="0"/>
        <v>13259.1528</v>
      </c>
      <c r="AM8" s="3">
        <f t="shared" si="1"/>
        <v>17.32</v>
      </c>
      <c r="AN8" s="3">
        <f t="shared" ref="AN8:AN23" si="12">SUM(R8:U8)</f>
        <v>17.329999999999998</v>
      </c>
      <c r="AO8" s="10">
        <v>17.32</v>
      </c>
      <c r="AQ8" s="29">
        <f t="shared" si="9"/>
        <v>0</v>
      </c>
      <c r="AR8" s="5">
        <f t="shared" si="2"/>
        <v>17.32</v>
      </c>
      <c r="AS8" s="5">
        <f t="shared" si="10"/>
        <v>17.329999999999998</v>
      </c>
      <c r="AT8" s="5">
        <f t="shared" si="11"/>
        <v>17.32</v>
      </c>
      <c r="AV8" s="81">
        <f t="shared" si="5"/>
        <v>1</v>
      </c>
      <c r="AW8" s="81">
        <f t="shared" si="6"/>
        <v>0.99942296595499147</v>
      </c>
      <c r="AX8" s="81">
        <f t="shared" si="7"/>
        <v>1</v>
      </c>
    </row>
    <row r="9" spans="1:50" s="81" customFormat="1" ht="23.25">
      <c r="A9" s="82" t="s">
        <v>27</v>
      </c>
      <c r="B9" s="82">
        <v>422</v>
      </c>
      <c r="C9" s="25">
        <v>361</v>
      </c>
      <c r="D9" s="82">
        <v>100</v>
      </c>
      <c r="E9" s="82" t="s">
        <v>30</v>
      </c>
      <c r="F9" s="36">
        <v>0</v>
      </c>
      <c r="G9" s="36">
        <v>9000</v>
      </c>
      <c r="H9" s="44">
        <v>9</v>
      </c>
      <c r="I9" s="34">
        <v>10</v>
      </c>
      <c r="J9" s="82" t="s">
        <v>226</v>
      </c>
      <c r="K9" s="83">
        <v>42229</v>
      </c>
      <c r="L9" s="13" t="s">
        <v>114</v>
      </c>
      <c r="M9" s="147">
        <v>2.34</v>
      </c>
      <c r="N9" s="147">
        <v>2.99</v>
      </c>
      <c r="O9" s="147">
        <v>2.44</v>
      </c>
      <c r="P9" s="147">
        <v>1.23</v>
      </c>
      <c r="Q9" s="147">
        <v>2.6477599999999999</v>
      </c>
      <c r="R9" s="147">
        <v>8.48</v>
      </c>
      <c r="S9" s="147">
        <v>0.4</v>
      </c>
      <c r="T9" s="147">
        <v>0.1</v>
      </c>
      <c r="U9" s="147">
        <v>0.03</v>
      </c>
      <c r="V9" s="147">
        <v>6.2154199999999999</v>
      </c>
      <c r="W9" s="147">
        <v>0</v>
      </c>
      <c r="X9" s="147">
        <v>0</v>
      </c>
      <c r="Y9" s="44">
        <v>9</v>
      </c>
      <c r="Z9" s="147">
        <v>1.3401099999999999</v>
      </c>
      <c r="AA9" s="100">
        <v>0</v>
      </c>
      <c r="AB9" s="147">
        <v>310.08</v>
      </c>
      <c r="AC9" s="99">
        <v>0.49219000000000002</v>
      </c>
      <c r="AD9" s="99">
        <v>0</v>
      </c>
      <c r="AE9" s="99">
        <v>0</v>
      </c>
      <c r="AF9" s="99">
        <v>0</v>
      </c>
      <c r="AG9" s="99">
        <v>0</v>
      </c>
      <c r="AH9" s="99">
        <v>0</v>
      </c>
      <c r="AI9" s="84">
        <v>0</v>
      </c>
      <c r="AK9" s="81">
        <f t="shared" si="8"/>
        <v>155.04</v>
      </c>
      <c r="AL9" s="5">
        <f t="shared" si="0"/>
        <v>1395.36</v>
      </c>
      <c r="AM9" s="3">
        <f t="shared" si="1"/>
        <v>9</v>
      </c>
      <c r="AN9" s="3">
        <f t="shared" si="12"/>
        <v>9.01</v>
      </c>
      <c r="AO9" s="10">
        <v>9</v>
      </c>
      <c r="AQ9" s="29">
        <f t="shared" si="9"/>
        <v>0</v>
      </c>
      <c r="AR9" s="5">
        <f t="shared" si="2"/>
        <v>9</v>
      </c>
      <c r="AS9" s="5">
        <f t="shared" si="10"/>
        <v>9.01</v>
      </c>
      <c r="AT9" s="5">
        <f t="shared" si="11"/>
        <v>9</v>
      </c>
      <c r="AV9" s="81">
        <f t="shared" si="5"/>
        <v>1</v>
      </c>
      <c r="AW9" s="81">
        <f t="shared" si="6"/>
        <v>0.99889012208657046</v>
      </c>
      <c r="AX9" s="81">
        <f t="shared" si="7"/>
        <v>1</v>
      </c>
    </row>
    <row r="10" spans="1:50" s="81" customFormat="1" ht="23.25">
      <c r="A10" s="82" t="s">
        <v>27</v>
      </c>
      <c r="B10" s="82">
        <v>422</v>
      </c>
      <c r="C10" s="25">
        <v>361</v>
      </c>
      <c r="D10" s="82">
        <v>100</v>
      </c>
      <c r="E10" s="82" t="s">
        <v>30</v>
      </c>
      <c r="F10" s="36">
        <v>9000</v>
      </c>
      <c r="G10" s="36">
        <v>0</v>
      </c>
      <c r="H10" s="44">
        <v>9</v>
      </c>
      <c r="I10" s="34">
        <v>10</v>
      </c>
      <c r="J10" s="82" t="s">
        <v>94</v>
      </c>
      <c r="K10" s="83">
        <v>42229</v>
      </c>
      <c r="L10" s="13" t="s">
        <v>114</v>
      </c>
      <c r="M10" s="147">
        <v>2.67</v>
      </c>
      <c r="N10" s="147">
        <v>3.87</v>
      </c>
      <c r="O10" s="147">
        <v>1.88</v>
      </c>
      <c r="P10" s="147">
        <v>0.59</v>
      </c>
      <c r="Q10" s="147">
        <v>3.7328399999999999</v>
      </c>
      <c r="R10" s="147">
        <v>7.05</v>
      </c>
      <c r="S10" s="147">
        <v>1.75</v>
      </c>
      <c r="T10" s="147">
        <v>0.2</v>
      </c>
      <c r="U10" s="147">
        <v>0</v>
      </c>
      <c r="V10" s="147">
        <v>8.1158699999999993</v>
      </c>
      <c r="W10" s="147">
        <v>0</v>
      </c>
      <c r="X10" s="147">
        <v>0</v>
      </c>
      <c r="Y10" s="44">
        <v>9</v>
      </c>
      <c r="Z10" s="147">
        <v>1.2652699999999999</v>
      </c>
      <c r="AA10" s="100">
        <v>0</v>
      </c>
      <c r="AB10" s="147">
        <v>727.82</v>
      </c>
      <c r="AC10" s="99">
        <v>1.15527</v>
      </c>
      <c r="AD10" s="99">
        <v>1.52</v>
      </c>
      <c r="AE10" s="99">
        <v>4.8300000000000001E-3</v>
      </c>
      <c r="AF10" s="99">
        <v>14</v>
      </c>
      <c r="AG10" s="99">
        <v>4.4443999999999997E-2</v>
      </c>
      <c r="AH10" s="99">
        <v>1.06</v>
      </c>
      <c r="AI10" s="84">
        <v>3.3700000000000002E-3</v>
      </c>
      <c r="AK10" s="81">
        <f t="shared" si="8"/>
        <v>363.91</v>
      </c>
      <c r="AL10" s="5">
        <f t="shared" si="0"/>
        <v>3424.41</v>
      </c>
      <c r="AM10" s="3">
        <f t="shared" si="1"/>
        <v>9.01</v>
      </c>
      <c r="AN10" s="3">
        <f t="shared" si="12"/>
        <v>9</v>
      </c>
      <c r="AO10" s="10">
        <v>9</v>
      </c>
      <c r="AQ10" s="29">
        <f t="shared" si="9"/>
        <v>-9.9999999999997868E-3</v>
      </c>
      <c r="AR10" s="5">
        <f t="shared" si="2"/>
        <v>9.01</v>
      </c>
      <c r="AS10" s="5">
        <f t="shared" si="10"/>
        <v>9</v>
      </c>
      <c r="AT10" s="5">
        <f t="shared" si="11"/>
        <v>9</v>
      </c>
      <c r="AV10" s="81">
        <f t="shared" si="5"/>
        <v>0.99889012208657046</v>
      </c>
      <c r="AW10" s="81">
        <f t="shared" si="6"/>
        <v>1</v>
      </c>
      <c r="AX10" s="81">
        <f t="shared" si="7"/>
        <v>1</v>
      </c>
    </row>
    <row r="11" spans="1:50" s="81" customFormat="1" ht="23.25">
      <c r="A11" s="82" t="s">
        <v>27</v>
      </c>
      <c r="B11" s="82">
        <v>422</v>
      </c>
      <c r="C11" s="25">
        <v>3127</v>
      </c>
      <c r="D11" s="82">
        <v>100</v>
      </c>
      <c r="E11" s="82" t="s">
        <v>31</v>
      </c>
      <c r="F11" s="36">
        <v>18935</v>
      </c>
      <c r="G11" s="36">
        <v>6992</v>
      </c>
      <c r="H11" s="44">
        <v>11.943</v>
      </c>
      <c r="I11" s="34">
        <v>2</v>
      </c>
      <c r="J11" s="82" t="s">
        <v>95</v>
      </c>
      <c r="K11" s="83">
        <v>42229</v>
      </c>
      <c r="L11" s="13" t="s">
        <v>114</v>
      </c>
      <c r="M11" s="147">
        <v>4.66</v>
      </c>
      <c r="N11" s="147">
        <v>3.27</v>
      </c>
      <c r="O11" s="147">
        <v>2.14</v>
      </c>
      <c r="P11" s="147">
        <v>1.88</v>
      </c>
      <c r="Q11" s="147">
        <v>3.1870599999999998</v>
      </c>
      <c r="R11" s="147">
        <v>10.220000000000001</v>
      </c>
      <c r="S11" s="147">
        <v>1.38</v>
      </c>
      <c r="T11" s="147">
        <v>0.33</v>
      </c>
      <c r="U11" s="147">
        <v>0.03</v>
      </c>
      <c r="V11" s="147">
        <v>6.7101800000000003</v>
      </c>
      <c r="W11" s="147">
        <v>0</v>
      </c>
      <c r="X11" s="147">
        <v>0</v>
      </c>
      <c r="Y11" s="44">
        <v>11.943</v>
      </c>
      <c r="Z11" s="147">
        <v>1.08561</v>
      </c>
      <c r="AA11" s="100">
        <v>94.55</v>
      </c>
      <c r="AB11" s="147">
        <v>8.7799999999999994</v>
      </c>
      <c r="AC11" s="99">
        <v>0.23669999999999999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84">
        <v>0</v>
      </c>
      <c r="AK11" s="81">
        <f t="shared" si="8"/>
        <v>4.3899999999999997</v>
      </c>
      <c r="AL11" s="5">
        <f t="shared" si="0"/>
        <v>1181.6404199999999</v>
      </c>
      <c r="AM11" s="3">
        <f t="shared" si="1"/>
        <v>11.95</v>
      </c>
      <c r="AN11" s="3">
        <f t="shared" si="12"/>
        <v>11.96</v>
      </c>
      <c r="AO11" s="10">
        <v>11.943</v>
      </c>
      <c r="AQ11" s="29">
        <f t="shared" si="9"/>
        <v>-6.9999999999996732E-3</v>
      </c>
      <c r="AR11" s="5">
        <f t="shared" si="2"/>
        <v>11.95</v>
      </c>
      <c r="AS11" s="5">
        <f t="shared" si="10"/>
        <v>11.96</v>
      </c>
      <c r="AT11" s="5">
        <f t="shared" si="11"/>
        <v>11.943</v>
      </c>
      <c r="AV11" s="81">
        <f t="shared" si="5"/>
        <v>0.9994142259414226</v>
      </c>
      <c r="AW11" s="81">
        <f t="shared" si="6"/>
        <v>0.99857859531772564</v>
      </c>
      <c r="AX11" s="81">
        <f t="shared" si="7"/>
        <v>1</v>
      </c>
    </row>
    <row r="12" spans="1:50" s="81" customFormat="1" ht="23.25">
      <c r="A12" s="82" t="s">
        <v>27</v>
      </c>
      <c r="B12" s="82">
        <v>422</v>
      </c>
      <c r="C12" s="25">
        <v>3245</v>
      </c>
      <c r="D12" s="82">
        <v>301</v>
      </c>
      <c r="E12" s="82" t="s">
        <v>32</v>
      </c>
      <c r="F12" s="36">
        <v>34000</v>
      </c>
      <c r="G12" s="36">
        <v>53317</v>
      </c>
      <c r="H12" s="44">
        <v>19.317</v>
      </c>
      <c r="I12" s="34">
        <v>2</v>
      </c>
      <c r="J12" s="82" t="s">
        <v>227</v>
      </c>
      <c r="K12" s="83">
        <v>42230</v>
      </c>
      <c r="L12" s="13" t="s">
        <v>114</v>
      </c>
      <c r="M12" s="147">
        <v>6.09</v>
      </c>
      <c r="N12" s="147">
        <v>5.45</v>
      </c>
      <c r="O12" s="147">
        <v>4.8499999999999996</v>
      </c>
      <c r="P12" s="147">
        <v>2.93</v>
      </c>
      <c r="Q12" s="147">
        <v>3.44983</v>
      </c>
      <c r="R12" s="147">
        <v>17.690000000000001</v>
      </c>
      <c r="S12" s="147">
        <v>1.38</v>
      </c>
      <c r="T12" s="147">
        <v>0.25</v>
      </c>
      <c r="U12" s="147">
        <v>0</v>
      </c>
      <c r="V12" s="147">
        <v>5.6687700000000003</v>
      </c>
      <c r="W12" s="147">
        <v>0</v>
      </c>
      <c r="X12" s="147">
        <v>0</v>
      </c>
      <c r="Y12" s="44">
        <v>19.317</v>
      </c>
      <c r="Z12" s="147">
        <v>1.3539099999999999</v>
      </c>
      <c r="AA12" s="100">
        <v>546.44000000000005</v>
      </c>
      <c r="AB12" s="147">
        <v>0</v>
      </c>
      <c r="AC12" s="99">
        <v>0.80823</v>
      </c>
      <c r="AD12" s="99">
        <v>1.4</v>
      </c>
      <c r="AE12" s="99">
        <v>2.0699999999999998E-3</v>
      </c>
      <c r="AF12" s="99">
        <v>0</v>
      </c>
      <c r="AG12" s="99">
        <v>0</v>
      </c>
      <c r="AH12" s="99">
        <v>0</v>
      </c>
      <c r="AI12" s="84">
        <v>0</v>
      </c>
      <c r="AK12" s="81">
        <f t="shared" si="8"/>
        <v>0</v>
      </c>
      <c r="AL12" s="5">
        <f t="shared" si="0"/>
        <v>10582.62528</v>
      </c>
      <c r="AM12" s="3">
        <f t="shared" si="1"/>
        <v>19.32</v>
      </c>
      <c r="AN12" s="3">
        <f t="shared" si="12"/>
        <v>19.32</v>
      </c>
      <c r="AO12" s="10">
        <v>19.317</v>
      </c>
      <c r="AQ12" s="29">
        <f t="shared" si="9"/>
        <v>-3.0000000000001137E-3</v>
      </c>
      <c r="AR12" s="5">
        <f t="shared" si="2"/>
        <v>19.32</v>
      </c>
      <c r="AS12" s="5">
        <f t="shared" si="10"/>
        <v>19.32</v>
      </c>
      <c r="AT12" s="5">
        <f t="shared" si="11"/>
        <v>19.317</v>
      </c>
      <c r="AV12" s="81">
        <f t="shared" si="5"/>
        <v>0.99984472049689443</v>
      </c>
      <c r="AW12" s="81">
        <f t="shared" si="6"/>
        <v>0.99984472049689443</v>
      </c>
      <c r="AX12" s="81">
        <f t="shared" si="7"/>
        <v>1</v>
      </c>
    </row>
    <row r="13" spans="1:50" s="81" customFormat="1" ht="23.25">
      <c r="A13" s="82" t="s">
        <v>27</v>
      </c>
      <c r="B13" s="82">
        <v>422</v>
      </c>
      <c r="C13" s="25">
        <v>3245</v>
      </c>
      <c r="D13" s="82">
        <v>302</v>
      </c>
      <c r="E13" s="82" t="s">
        <v>33</v>
      </c>
      <c r="F13" s="36">
        <v>53317</v>
      </c>
      <c r="G13" s="36">
        <v>81317</v>
      </c>
      <c r="H13" s="44">
        <v>28</v>
      </c>
      <c r="I13" s="34">
        <v>2</v>
      </c>
      <c r="J13" s="82" t="s">
        <v>227</v>
      </c>
      <c r="K13" s="83">
        <v>42230</v>
      </c>
      <c r="L13" s="13" t="s">
        <v>114</v>
      </c>
      <c r="M13" s="147">
        <v>15.55</v>
      </c>
      <c r="N13" s="147">
        <v>7.61</v>
      </c>
      <c r="O13" s="147">
        <v>3.34</v>
      </c>
      <c r="P13" s="147">
        <v>1.5</v>
      </c>
      <c r="Q13" s="147">
        <v>3.43641</v>
      </c>
      <c r="R13" s="147">
        <v>23.99</v>
      </c>
      <c r="S13" s="147">
        <v>3.09</v>
      </c>
      <c r="T13" s="147">
        <v>0.75</v>
      </c>
      <c r="U13" s="147">
        <v>0.18</v>
      </c>
      <c r="V13" s="147">
        <v>6.0596300000000003</v>
      </c>
      <c r="W13" s="147">
        <v>0</v>
      </c>
      <c r="X13" s="147">
        <v>0</v>
      </c>
      <c r="Y13" s="44">
        <v>28</v>
      </c>
      <c r="Z13" s="147">
        <v>1.3117099999999999</v>
      </c>
      <c r="AA13" s="100">
        <v>45.97</v>
      </c>
      <c r="AB13" s="147">
        <v>0</v>
      </c>
      <c r="AC13" s="99">
        <v>4.691E-2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84">
        <v>0</v>
      </c>
      <c r="AK13" s="81">
        <f t="shared" si="8"/>
        <v>0</v>
      </c>
      <c r="AL13" s="5">
        <f t="shared" si="0"/>
        <v>1287.1599999999999</v>
      </c>
      <c r="AM13" s="3">
        <f t="shared" si="1"/>
        <v>28</v>
      </c>
      <c r="AN13" s="3">
        <f t="shared" si="12"/>
        <v>28.009999999999998</v>
      </c>
      <c r="AO13" s="10">
        <v>28</v>
      </c>
      <c r="AQ13" s="29">
        <f t="shared" si="9"/>
        <v>0</v>
      </c>
      <c r="AR13" s="5">
        <f t="shared" si="2"/>
        <v>28</v>
      </c>
      <c r="AS13" s="5">
        <f t="shared" si="10"/>
        <v>28.009999999999998</v>
      </c>
      <c r="AT13" s="5">
        <f t="shared" si="11"/>
        <v>28</v>
      </c>
      <c r="AV13" s="81">
        <f t="shared" si="5"/>
        <v>1</v>
      </c>
      <c r="AW13" s="81">
        <f t="shared" si="6"/>
        <v>0.99964298464834001</v>
      </c>
      <c r="AX13" s="81">
        <f t="shared" si="7"/>
        <v>1</v>
      </c>
    </row>
    <row r="14" spans="1:50" s="81" customFormat="1" ht="23.25">
      <c r="A14" s="82" t="s">
        <v>27</v>
      </c>
      <c r="B14" s="82">
        <v>422</v>
      </c>
      <c r="C14" s="25">
        <v>3246</v>
      </c>
      <c r="D14" s="82">
        <v>100</v>
      </c>
      <c r="E14" s="82" t="s">
        <v>34</v>
      </c>
      <c r="F14" s="36">
        <v>0</v>
      </c>
      <c r="G14" s="36">
        <v>12135</v>
      </c>
      <c r="H14" s="54">
        <v>12.135</v>
      </c>
      <c r="I14" s="34">
        <v>2</v>
      </c>
      <c r="J14" s="82" t="s">
        <v>227</v>
      </c>
      <c r="K14" s="83">
        <v>42229</v>
      </c>
      <c r="L14" s="13" t="s">
        <v>114</v>
      </c>
      <c r="M14" s="147">
        <v>5.19</v>
      </c>
      <c r="N14" s="147">
        <v>3.6</v>
      </c>
      <c r="O14" s="147">
        <v>1.99</v>
      </c>
      <c r="P14" s="147">
        <v>1.36</v>
      </c>
      <c r="Q14" s="147">
        <v>2.7050700000000001</v>
      </c>
      <c r="R14" s="147">
        <v>11.69</v>
      </c>
      <c r="S14" s="147">
        <v>0.43</v>
      </c>
      <c r="T14" s="147">
        <v>0.03</v>
      </c>
      <c r="U14" s="147">
        <v>0</v>
      </c>
      <c r="V14" s="147">
        <v>5.2687099999999996</v>
      </c>
      <c r="W14" s="147">
        <v>0</v>
      </c>
      <c r="X14" s="147">
        <v>0</v>
      </c>
      <c r="Y14" s="54">
        <v>12.135</v>
      </c>
      <c r="Z14" s="147">
        <v>1.3705400000000001</v>
      </c>
      <c r="AA14" s="100">
        <v>6.78</v>
      </c>
      <c r="AB14" s="147">
        <v>0</v>
      </c>
      <c r="AC14" s="99">
        <v>1.5959999999999998E-2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84">
        <v>0</v>
      </c>
      <c r="AK14" s="81">
        <f t="shared" si="8"/>
        <v>0</v>
      </c>
      <c r="AL14" s="5">
        <f t="shared" si="0"/>
        <v>82.275300000000001</v>
      </c>
      <c r="AM14" s="3">
        <f t="shared" si="1"/>
        <v>12.14</v>
      </c>
      <c r="AN14" s="3">
        <f t="shared" si="12"/>
        <v>12.149999999999999</v>
      </c>
      <c r="AO14" s="10">
        <v>12.135</v>
      </c>
      <c r="AQ14" s="29">
        <f t="shared" si="9"/>
        <v>-5.0000000000007816E-3</v>
      </c>
      <c r="AR14" s="5">
        <f t="shared" si="2"/>
        <v>12.14</v>
      </c>
      <c r="AS14" s="5">
        <f t="shared" si="10"/>
        <v>12.149999999999999</v>
      </c>
      <c r="AT14" s="5">
        <f t="shared" si="11"/>
        <v>12.135</v>
      </c>
      <c r="AV14" s="81">
        <f t="shared" si="5"/>
        <v>0.99958813838550242</v>
      </c>
      <c r="AW14" s="81">
        <f t="shared" si="6"/>
        <v>0.99876543209876556</v>
      </c>
      <c r="AX14" s="81">
        <f t="shared" si="7"/>
        <v>1</v>
      </c>
    </row>
    <row r="15" spans="1:50" s="81" customFormat="1" ht="22.5" customHeight="1">
      <c r="A15" s="82" t="s">
        <v>27</v>
      </c>
      <c r="B15" s="82">
        <v>422</v>
      </c>
      <c r="C15" s="25">
        <v>3248</v>
      </c>
      <c r="D15" s="82">
        <v>100</v>
      </c>
      <c r="E15" s="82" t="s">
        <v>35</v>
      </c>
      <c r="F15" s="36">
        <v>0</v>
      </c>
      <c r="G15" s="36">
        <v>14765</v>
      </c>
      <c r="H15" s="54">
        <v>14.765000000000001</v>
      </c>
      <c r="I15" s="34">
        <v>2</v>
      </c>
      <c r="J15" s="142" t="s">
        <v>227</v>
      </c>
      <c r="K15" s="83">
        <v>42229</v>
      </c>
      <c r="L15" s="13" t="s">
        <v>114</v>
      </c>
      <c r="M15" s="147">
        <v>6.75</v>
      </c>
      <c r="N15" s="147">
        <v>3.45</v>
      </c>
      <c r="O15" s="147">
        <v>2.25</v>
      </c>
      <c r="P15" s="147">
        <v>2.25</v>
      </c>
      <c r="Q15" s="147">
        <v>3.3249300000000002</v>
      </c>
      <c r="R15" s="147">
        <v>13.225</v>
      </c>
      <c r="S15" s="147">
        <v>1.3</v>
      </c>
      <c r="T15" s="147">
        <v>0.17499999999999999</v>
      </c>
      <c r="U15" s="147">
        <v>0</v>
      </c>
      <c r="V15" s="147">
        <v>6.2006800000000002</v>
      </c>
      <c r="W15" s="147">
        <v>0</v>
      </c>
      <c r="X15" s="147">
        <v>0</v>
      </c>
      <c r="Y15" s="54">
        <v>14.765000000000001</v>
      </c>
      <c r="Z15" s="147">
        <v>1.48</v>
      </c>
      <c r="AA15" s="147">
        <v>0</v>
      </c>
      <c r="AB15" s="147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4"/>
      <c r="AK15" s="81">
        <f t="shared" si="8"/>
        <v>0</v>
      </c>
      <c r="AL15" s="5">
        <f t="shared" si="0"/>
        <v>0</v>
      </c>
      <c r="AM15" s="3">
        <f t="shared" si="1"/>
        <v>14.7</v>
      </c>
      <c r="AN15" s="3">
        <f t="shared" si="12"/>
        <v>14.700000000000001</v>
      </c>
      <c r="AO15" s="10">
        <v>14.765000000000001</v>
      </c>
      <c r="AQ15" s="29">
        <f t="shared" si="9"/>
        <v>6.5000000000001279E-2</v>
      </c>
      <c r="AR15" s="5">
        <f t="shared" si="2"/>
        <v>14.7</v>
      </c>
      <c r="AS15" s="5">
        <f t="shared" si="10"/>
        <v>14.700000000000001</v>
      </c>
      <c r="AT15" s="5">
        <f t="shared" si="11"/>
        <v>14.765000000000001</v>
      </c>
      <c r="AV15" s="81">
        <f t="shared" si="5"/>
        <v>1.004421768707483</v>
      </c>
      <c r="AW15" s="81">
        <f t="shared" si="6"/>
        <v>1.004421768707483</v>
      </c>
      <c r="AX15" s="81">
        <f t="shared" si="7"/>
        <v>1</v>
      </c>
    </row>
    <row r="16" spans="1:50" s="81" customFormat="1" ht="23.25">
      <c r="A16" s="82" t="s">
        <v>27</v>
      </c>
      <c r="B16" s="82">
        <v>422</v>
      </c>
      <c r="C16" s="25">
        <v>3289</v>
      </c>
      <c r="D16" s="82">
        <v>100</v>
      </c>
      <c r="E16" s="82" t="s">
        <v>36</v>
      </c>
      <c r="F16" s="36">
        <v>0</v>
      </c>
      <c r="G16" s="36">
        <v>8732</v>
      </c>
      <c r="H16" s="54">
        <v>8.7319999999999993</v>
      </c>
      <c r="I16" s="34">
        <v>2</v>
      </c>
      <c r="J16" s="82" t="s">
        <v>227</v>
      </c>
      <c r="K16" s="83">
        <v>42229</v>
      </c>
      <c r="L16" s="13" t="s">
        <v>114</v>
      </c>
      <c r="M16" s="147">
        <v>1.3</v>
      </c>
      <c r="N16" s="147">
        <v>1.87</v>
      </c>
      <c r="O16" s="147">
        <v>2.38</v>
      </c>
      <c r="P16" s="147">
        <v>3.18</v>
      </c>
      <c r="Q16" s="147">
        <v>2.92116</v>
      </c>
      <c r="R16" s="147">
        <v>7.41</v>
      </c>
      <c r="S16" s="147">
        <v>0.98</v>
      </c>
      <c r="T16" s="147">
        <v>0.23</v>
      </c>
      <c r="U16" s="147">
        <v>0.13</v>
      </c>
      <c r="V16" s="147">
        <v>6.9689399999999999</v>
      </c>
      <c r="W16" s="147">
        <v>0</v>
      </c>
      <c r="X16" s="147">
        <v>0</v>
      </c>
      <c r="Y16" s="54">
        <v>8.7319999999999993</v>
      </c>
      <c r="Z16" s="147">
        <v>1.02633</v>
      </c>
      <c r="AA16" s="100">
        <v>89.8</v>
      </c>
      <c r="AB16" s="147">
        <v>5.13</v>
      </c>
      <c r="AC16" s="99">
        <v>0.30221999999999999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84">
        <v>0</v>
      </c>
      <c r="AJ16" s="4"/>
      <c r="AK16" s="81">
        <f t="shared" si="8"/>
        <v>2.5649999999999999</v>
      </c>
      <c r="AL16" s="5">
        <f t="shared" si="0"/>
        <v>806.53117999999984</v>
      </c>
      <c r="AM16" s="3">
        <f t="shared" si="1"/>
        <v>8.73</v>
      </c>
      <c r="AN16" s="3">
        <f t="shared" si="12"/>
        <v>8.7500000000000018</v>
      </c>
      <c r="AO16" s="10">
        <v>8.7319999999999993</v>
      </c>
      <c r="AQ16" s="29">
        <f t="shared" si="9"/>
        <v>1.9999999999988916E-3</v>
      </c>
      <c r="AR16" s="5">
        <f t="shared" si="2"/>
        <v>8.73</v>
      </c>
      <c r="AS16" s="5">
        <f t="shared" si="10"/>
        <v>8.7500000000000018</v>
      </c>
      <c r="AT16" s="5">
        <f t="shared" si="11"/>
        <v>8.7319999999999993</v>
      </c>
      <c r="AV16" s="81">
        <f t="shared" si="5"/>
        <v>1.0002290950744557</v>
      </c>
      <c r="AW16" s="81">
        <f t="shared" si="6"/>
        <v>0.99794285714285691</v>
      </c>
      <c r="AX16" s="81">
        <f t="shared" si="7"/>
        <v>1</v>
      </c>
    </row>
    <row r="17" spans="1:50" s="81" customFormat="1" ht="23.25" customHeight="1">
      <c r="A17" s="82" t="s">
        <v>27</v>
      </c>
      <c r="B17" s="82">
        <v>422</v>
      </c>
      <c r="C17" s="25">
        <v>3401</v>
      </c>
      <c r="D17" s="82">
        <v>100</v>
      </c>
      <c r="E17" s="82" t="s">
        <v>37</v>
      </c>
      <c r="F17" s="36">
        <v>0</v>
      </c>
      <c r="G17" s="36">
        <v>27864</v>
      </c>
      <c r="H17" s="54">
        <v>27.864000000000001</v>
      </c>
      <c r="I17" s="34">
        <v>2</v>
      </c>
      <c r="J17" s="142" t="s">
        <v>227</v>
      </c>
      <c r="K17" s="83">
        <v>42229</v>
      </c>
      <c r="L17" s="13" t="s">
        <v>114</v>
      </c>
      <c r="M17" s="147">
        <v>1.875</v>
      </c>
      <c r="N17" s="147">
        <v>6.5750000000000002</v>
      </c>
      <c r="O17" s="147">
        <v>9.5250000000000004</v>
      </c>
      <c r="P17" s="147">
        <v>9.75</v>
      </c>
      <c r="Q17" s="147">
        <v>4.7434399999999997</v>
      </c>
      <c r="R17" s="147">
        <v>22.1</v>
      </c>
      <c r="S17" s="147">
        <v>4.2750000000000004</v>
      </c>
      <c r="T17" s="147">
        <v>0.95</v>
      </c>
      <c r="U17" s="147">
        <v>0.4</v>
      </c>
      <c r="V17" s="147">
        <v>7.2117000000000004</v>
      </c>
      <c r="W17" s="147">
        <v>0</v>
      </c>
      <c r="X17" s="147">
        <v>2.5000000000000001E-2</v>
      </c>
      <c r="Y17" s="54">
        <v>27.864000000000001</v>
      </c>
      <c r="Z17" s="147">
        <v>1.35917</v>
      </c>
      <c r="AA17" s="147">
        <v>0</v>
      </c>
      <c r="AB17" s="147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4"/>
      <c r="AK17" s="81">
        <f t="shared" si="8"/>
        <v>0</v>
      </c>
      <c r="AL17" s="5">
        <f t="shared" si="0"/>
        <v>0</v>
      </c>
      <c r="AM17" s="3">
        <f t="shared" si="1"/>
        <v>27.725000000000001</v>
      </c>
      <c r="AN17" s="3">
        <f t="shared" si="12"/>
        <v>27.724999999999998</v>
      </c>
      <c r="AO17" s="10">
        <v>27.864000000000001</v>
      </c>
      <c r="AQ17" s="29">
        <f t="shared" si="9"/>
        <v>0.13899999999999935</v>
      </c>
      <c r="AR17" s="5">
        <f t="shared" si="2"/>
        <v>27.725000000000001</v>
      </c>
      <c r="AS17" s="5">
        <f t="shared" si="10"/>
        <v>27.724999999999998</v>
      </c>
      <c r="AT17" s="5">
        <f t="shared" si="11"/>
        <v>27.888999999999999</v>
      </c>
      <c r="AV17" s="81">
        <f t="shared" si="5"/>
        <v>1.0050135256988277</v>
      </c>
      <c r="AW17" s="81">
        <f t="shared" si="6"/>
        <v>1.005013525698828</v>
      </c>
      <c r="AX17" s="81">
        <f t="shared" si="7"/>
        <v>0.99910358922872822</v>
      </c>
    </row>
    <row r="18" spans="1:50" s="81" customFormat="1" ht="23.25" customHeight="1">
      <c r="A18" s="82" t="s">
        <v>27</v>
      </c>
      <c r="B18" s="82">
        <v>422</v>
      </c>
      <c r="C18" s="25">
        <v>3466</v>
      </c>
      <c r="D18" s="82">
        <v>100</v>
      </c>
      <c r="E18" s="82" t="s">
        <v>38</v>
      </c>
      <c r="F18" s="36">
        <v>0</v>
      </c>
      <c r="G18" s="36">
        <v>10538</v>
      </c>
      <c r="H18" s="54">
        <v>9</v>
      </c>
      <c r="I18" s="34">
        <v>4</v>
      </c>
      <c r="J18" s="82" t="s">
        <v>226</v>
      </c>
      <c r="K18" s="83">
        <v>42229</v>
      </c>
      <c r="L18" s="13" t="s">
        <v>114</v>
      </c>
      <c r="M18" s="147">
        <v>3</v>
      </c>
      <c r="N18" s="147">
        <v>0.69</v>
      </c>
      <c r="O18" s="147">
        <v>0.92</v>
      </c>
      <c r="P18" s="147">
        <v>4.38</v>
      </c>
      <c r="Q18" s="147">
        <v>2.20255</v>
      </c>
      <c r="R18" s="147">
        <v>8.42</v>
      </c>
      <c r="S18" s="147">
        <v>0.45</v>
      </c>
      <c r="T18" s="147">
        <v>0.1</v>
      </c>
      <c r="U18" s="147">
        <v>0.03</v>
      </c>
      <c r="V18" s="147">
        <v>5.8583400000000001</v>
      </c>
      <c r="W18" s="147">
        <v>0</v>
      </c>
      <c r="X18" s="147">
        <v>0</v>
      </c>
      <c r="Y18" s="54">
        <v>9</v>
      </c>
      <c r="Z18" s="147">
        <v>1.16124</v>
      </c>
      <c r="AA18" s="100">
        <v>0</v>
      </c>
      <c r="AB18" s="147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84">
        <v>0</v>
      </c>
      <c r="AJ18" s="4"/>
      <c r="AK18" s="81">
        <f t="shared" si="8"/>
        <v>0</v>
      </c>
      <c r="AL18" s="5">
        <f t="shared" si="0"/>
        <v>0</v>
      </c>
      <c r="AM18" s="3">
        <f t="shared" si="1"/>
        <v>8.99</v>
      </c>
      <c r="AN18" s="3">
        <f t="shared" si="12"/>
        <v>8.9999999999999982</v>
      </c>
      <c r="AO18" s="31">
        <v>9</v>
      </c>
      <c r="AQ18" s="29">
        <f t="shared" si="9"/>
        <v>9.9999999999997868E-3</v>
      </c>
      <c r="AR18" s="5">
        <f t="shared" si="2"/>
        <v>8.99</v>
      </c>
      <c r="AS18" s="5">
        <f t="shared" si="10"/>
        <v>8.9999999999999982</v>
      </c>
      <c r="AT18" s="5">
        <f t="shared" si="11"/>
        <v>9</v>
      </c>
      <c r="AV18" s="81">
        <f t="shared" si="5"/>
        <v>1.0011123470522802</v>
      </c>
      <c r="AW18" s="81">
        <f t="shared" si="6"/>
        <v>1.0000000000000002</v>
      </c>
      <c r="AX18" s="81">
        <f t="shared" si="7"/>
        <v>1</v>
      </c>
    </row>
    <row r="19" spans="1:50" s="81" customFormat="1" ht="23.25">
      <c r="A19" s="82" t="s">
        <v>27</v>
      </c>
      <c r="B19" s="82">
        <v>422</v>
      </c>
      <c r="C19" s="25">
        <v>3466</v>
      </c>
      <c r="D19" s="82">
        <v>100</v>
      </c>
      <c r="E19" s="82" t="s">
        <v>38</v>
      </c>
      <c r="F19" s="36">
        <v>10538</v>
      </c>
      <c r="G19" s="36">
        <v>0</v>
      </c>
      <c r="H19" s="54">
        <v>9</v>
      </c>
      <c r="I19" s="34">
        <v>4</v>
      </c>
      <c r="J19" s="82" t="s">
        <v>94</v>
      </c>
      <c r="K19" s="83">
        <v>42229</v>
      </c>
      <c r="L19" s="13" t="s">
        <v>114</v>
      </c>
      <c r="M19" s="147">
        <v>6.86</v>
      </c>
      <c r="N19" s="147">
        <v>1.21</v>
      </c>
      <c r="O19" s="147">
        <v>0.74</v>
      </c>
      <c r="P19" s="147">
        <v>0.2</v>
      </c>
      <c r="Q19" s="147">
        <v>2.23373</v>
      </c>
      <c r="R19" s="147">
        <v>8.35</v>
      </c>
      <c r="S19" s="147">
        <v>0.53</v>
      </c>
      <c r="T19" s="147">
        <v>0.1</v>
      </c>
      <c r="U19" s="147">
        <v>0.03</v>
      </c>
      <c r="V19" s="147">
        <v>6.2176900000000002</v>
      </c>
      <c r="W19" s="147">
        <v>0</v>
      </c>
      <c r="X19" s="147">
        <v>0</v>
      </c>
      <c r="Y19" s="54">
        <v>9</v>
      </c>
      <c r="Z19" s="147">
        <v>1.1494800000000001</v>
      </c>
      <c r="AA19" s="100">
        <v>0</v>
      </c>
      <c r="AB19" s="147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84">
        <v>0</v>
      </c>
      <c r="AJ19" s="4"/>
      <c r="AK19" s="81">
        <f t="shared" si="8"/>
        <v>0</v>
      </c>
      <c r="AL19" s="5">
        <f t="shared" si="0"/>
        <v>0</v>
      </c>
      <c r="AM19" s="3">
        <f t="shared" si="1"/>
        <v>9.01</v>
      </c>
      <c r="AN19" s="3">
        <f t="shared" si="12"/>
        <v>9.009999999999998</v>
      </c>
      <c r="AO19" s="31">
        <v>9</v>
      </c>
      <c r="AQ19" s="29">
        <f t="shared" si="9"/>
        <v>-9.9999999999997868E-3</v>
      </c>
      <c r="AR19" s="5">
        <f t="shared" si="2"/>
        <v>9.01</v>
      </c>
      <c r="AS19" s="5">
        <f t="shared" si="10"/>
        <v>9.009999999999998</v>
      </c>
      <c r="AT19" s="5">
        <f t="shared" si="11"/>
        <v>9</v>
      </c>
      <c r="AV19" s="81">
        <f t="shared" si="5"/>
        <v>0.99889012208657046</v>
      </c>
      <c r="AW19" s="81">
        <f t="shared" si="6"/>
        <v>0.99889012208657069</v>
      </c>
      <c r="AX19" s="81">
        <f t="shared" si="7"/>
        <v>1</v>
      </c>
    </row>
    <row r="20" spans="1:50" s="81" customFormat="1" ht="23.25">
      <c r="A20" s="82" t="s">
        <v>27</v>
      </c>
      <c r="B20" s="82">
        <v>422</v>
      </c>
      <c r="C20" s="25">
        <v>3701</v>
      </c>
      <c r="D20" s="82">
        <v>401</v>
      </c>
      <c r="E20" s="82" t="s">
        <v>39</v>
      </c>
      <c r="F20" s="36">
        <v>52000</v>
      </c>
      <c r="G20" s="36">
        <v>57226</v>
      </c>
      <c r="H20" s="54">
        <v>12.579000000000001</v>
      </c>
      <c r="I20" s="34">
        <v>2</v>
      </c>
      <c r="J20" s="82" t="s">
        <v>95</v>
      </c>
      <c r="K20" s="83">
        <v>42231</v>
      </c>
      <c r="L20" s="13" t="s">
        <v>114</v>
      </c>
      <c r="M20" s="147">
        <v>2.5299999999999998</v>
      </c>
      <c r="N20" s="147">
        <v>3.83</v>
      </c>
      <c r="O20" s="147">
        <v>3.04</v>
      </c>
      <c r="P20" s="147">
        <v>3.19</v>
      </c>
      <c r="Q20" s="147">
        <v>4.2342000000000004</v>
      </c>
      <c r="R20" s="147">
        <v>10.97</v>
      </c>
      <c r="S20" s="147">
        <v>1.28</v>
      </c>
      <c r="T20" s="147">
        <v>0.27</v>
      </c>
      <c r="U20" s="147">
        <v>0.08</v>
      </c>
      <c r="V20" s="147">
        <v>7.1291200000000003</v>
      </c>
      <c r="W20" s="147">
        <v>0</v>
      </c>
      <c r="X20" s="147">
        <v>0</v>
      </c>
      <c r="Y20" s="54">
        <v>12.579000000000001</v>
      </c>
      <c r="Z20" s="147">
        <v>1.2118500000000001</v>
      </c>
      <c r="AA20" s="100">
        <v>24.72</v>
      </c>
      <c r="AB20" s="147">
        <v>31.69</v>
      </c>
      <c r="AC20" s="99">
        <v>8.7139999999999995E-2</v>
      </c>
      <c r="AD20" s="99">
        <v>0</v>
      </c>
      <c r="AE20" s="99">
        <v>0</v>
      </c>
      <c r="AF20" s="99">
        <v>4</v>
      </c>
      <c r="AG20" s="99">
        <v>8.5929999999999999E-3</v>
      </c>
      <c r="AH20" s="99">
        <v>4.75</v>
      </c>
      <c r="AI20" s="84">
        <v>1.0200000000000001E-2</v>
      </c>
      <c r="AJ20" s="4"/>
      <c r="AK20" s="81">
        <f t="shared" si="8"/>
        <v>15.845000000000001</v>
      </c>
      <c r="AL20" s="5">
        <f t="shared" si="0"/>
        <v>620.33338500000002</v>
      </c>
      <c r="AM20" s="3">
        <f t="shared" si="1"/>
        <v>12.589999999999998</v>
      </c>
      <c r="AN20" s="3">
        <f t="shared" si="12"/>
        <v>12.6</v>
      </c>
      <c r="AO20" s="10">
        <v>12.579000000000001</v>
      </c>
      <c r="AQ20" s="29">
        <f t="shared" si="9"/>
        <v>-1.0999999999997456E-2</v>
      </c>
      <c r="AR20" s="5">
        <f t="shared" si="2"/>
        <v>12.589999999999998</v>
      </c>
      <c r="AS20" s="5">
        <f t="shared" si="10"/>
        <v>12.6</v>
      </c>
      <c r="AT20" s="5">
        <f t="shared" si="11"/>
        <v>12.579000000000001</v>
      </c>
      <c r="AV20" s="81">
        <f t="shared" si="5"/>
        <v>0.9991262907069105</v>
      </c>
      <c r="AW20" s="81">
        <f t="shared" si="6"/>
        <v>0.99833333333333341</v>
      </c>
      <c r="AX20" s="81">
        <f t="shared" si="7"/>
        <v>1</v>
      </c>
    </row>
    <row r="21" spans="1:50" s="81" customFormat="1" ht="23.25">
      <c r="A21" s="82" t="s">
        <v>27</v>
      </c>
      <c r="B21" s="82">
        <v>422</v>
      </c>
      <c r="C21" s="25">
        <v>3701</v>
      </c>
      <c r="D21" s="82">
        <v>402</v>
      </c>
      <c r="E21" s="82" t="s">
        <v>40</v>
      </c>
      <c r="F21" s="36">
        <v>71500</v>
      </c>
      <c r="G21" s="36">
        <v>65360</v>
      </c>
      <c r="H21" s="54">
        <v>6.14</v>
      </c>
      <c r="I21" s="34">
        <v>2</v>
      </c>
      <c r="J21" s="82" t="s">
        <v>95</v>
      </c>
      <c r="K21" s="83">
        <v>42231</v>
      </c>
      <c r="L21" s="13" t="s">
        <v>114</v>
      </c>
      <c r="M21" s="147">
        <v>0.92</v>
      </c>
      <c r="N21" s="147">
        <v>1.32</v>
      </c>
      <c r="O21" s="147">
        <v>1.68</v>
      </c>
      <c r="P21" s="147">
        <v>2.2400000000000002</v>
      </c>
      <c r="Q21" s="147">
        <v>3.8807999999999998</v>
      </c>
      <c r="R21" s="147">
        <v>5.03</v>
      </c>
      <c r="S21" s="147">
        <v>0.55000000000000004</v>
      </c>
      <c r="T21" s="147">
        <v>0.19</v>
      </c>
      <c r="U21" s="147">
        <v>0.4</v>
      </c>
      <c r="V21" s="147">
        <v>13.9526</v>
      </c>
      <c r="W21" s="147">
        <v>0</v>
      </c>
      <c r="X21" s="147">
        <v>0</v>
      </c>
      <c r="Y21" s="54">
        <v>6.14</v>
      </c>
      <c r="Z21" s="147">
        <v>1.48237</v>
      </c>
      <c r="AA21" s="100">
        <v>10.039999999999999</v>
      </c>
      <c r="AB21" s="147">
        <v>0</v>
      </c>
      <c r="AC21" s="99">
        <v>4.6719999999999998E-2</v>
      </c>
      <c r="AD21" s="99">
        <v>16.059999999999999</v>
      </c>
      <c r="AE21" s="99">
        <v>7.4730000000000005E-2</v>
      </c>
      <c r="AF21" s="99">
        <v>6</v>
      </c>
      <c r="AG21" s="99">
        <v>2.792E-2</v>
      </c>
      <c r="AH21" s="99">
        <v>72.94</v>
      </c>
      <c r="AI21" s="84">
        <v>0.33940999999999999</v>
      </c>
      <c r="AJ21" s="4"/>
      <c r="AK21" s="81">
        <f t="shared" si="8"/>
        <v>0</v>
      </c>
      <c r="AL21" s="5">
        <f t="shared" si="0"/>
        <v>644.9455999999999</v>
      </c>
      <c r="AM21" s="3">
        <f t="shared" si="1"/>
        <v>6.16</v>
      </c>
      <c r="AN21" s="3">
        <f t="shared" si="12"/>
        <v>6.1700000000000008</v>
      </c>
      <c r="AO21" s="10">
        <v>6.14</v>
      </c>
      <c r="AQ21" s="29">
        <f t="shared" si="9"/>
        <v>-2.0000000000000462E-2</v>
      </c>
      <c r="AR21" s="5">
        <f t="shared" si="2"/>
        <v>6.16</v>
      </c>
      <c r="AS21" s="5">
        <f t="shared" si="10"/>
        <v>6.1700000000000008</v>
      </c>
      <c r="AT21" s="5">
        <f t="shared" si="11"/>
        <v>6.14</v>
      </c>
      <c r="AV21" s="81">
        <f t="shared" si="5"/>
        <v>0.99675324675324672</v>
      </c>
      <c r="AW21" s="81">
        <f t="shared" si="6"/>
        <v>0.99513776337115056</v>
      </c>
      <c r="AX21" s="81">
        <f t="shared" si="7"/>
        <v>1</v>
      </c>
    </row>
    <row r="22" spans="1:50" s="81" customFormat="1" ht="23.25">
      <c r="A22" s="82" t="s">
        <v>27</v>
      </c>
      <c r="B22" s="82">
        <v>422</v>
      </c>
      <c r="C22" s="25">
        <v>3702</v>
      </c>
      <c r="D22" s="82">
        <v>401</v>
      </c>
      <c r="E22" s="82" t="s">
        <v>39</v>
      </c>
      <c r="F22" s="36" t="s">
        <v>96</v>
      </c>
      <c r="G22" s="36" t="s">
        <v>97</v>
      </c>
      <c r="H22" s="54">
        <v>13</v>
      </c>
      <c r="I22" s="34">
        <v>2</v>
      </c>
      <c r="J22" s="82" t="s">
        <v>227</v>
      </c>
      <c r="K22" s="83">
        <v>42231</v>
      </c>
      <c r="L22" s="13" t="s">
        <v>114</v>
      </c>
      <c r="M22" s="147">
        <v>4.7300000000000004</v>
      </c>
      <c r="N22" s="147">
        <v>3.15</v>
      </c>
      <c r="O22" s="147">
        <v>2.12</v>
      </c>
      <c r="P22" s="147">
        <v>3</v>
      </c>
      <c r="Q22" s="147">
        <v>4.2933000000000003</v>
      </c>
      <c r="R22" s="147">
        <v>10.130000000000001</v>
      </c>
      <c r="S22" s="147">
        <v>1.22</v>
      </c>
      <c r="T22" s="147">
        <v>0.55000000000000004</v>
      </c>
      <c r="U22" s="147">
        <v>1.1200000000000001</v>
      </c>
      <c r="V22" s="147">
        <v>10.759</v>
      </c>
      <c r="W22" s="147">
        <v>0</v>
      </c>
      <c r="X22" s="147">
        <v>0</v>
      </c>
      <c r="Y22" s="54">
        <v>13</v>
      </c>
      <c r="Z22" s="147">
        <v>1.78881</v>
      </c>
      <c r="AA22" s="100">
        <v>1.03</v>
      </c>
      <c r="AB22" s="147">
        <v>0</v>
      </c>
      <c r="AC22" s="99">
        <v>2.32E-3</v>
      </c>
      <c r="AD22" s="99">
        <v>83.56</v>
      </c>
      <c r="AE22" s="99">
        <v>0.18798999999999999</v>
      </c>
      <c r="AF22" s="99">
        <v>253</v>
      </c>
      <c r="AG22" s="99">
        <v>0.56917899999999999</v>
      </c>
      <c r="AH22" s="99">
        <v>60.38</v>
      </c>
      <c r="AI22" s="84">
        <v>0.13583999999999999</v>
      </c>
      <c r="AK22" s="81">
        <f t="shared" si="8"/>
        <v>0</v>
      </c>
      <c r="AL22" s="5">
        <f t="shared" si="0"/>
        <v>5173.6100000000006</v>
      </c>
      <c r="AM22" s="3">
        <f t="shared" si="1"/>
        <v>13</v>
      </c>
      <c r="AN22" s="3">
        <f t="shared" si="12"/>
        <v>13.020000000000003</v>
      </c>
      <c r="AO22" s="10">
        <v>13.127000000000001</v>
      </c>
      <c r="AQ22" s="29">
        <f t="shared" si="9"/>
        <v>0.12700000000000067</v>
      </c>
      <c r="AR22" s="5">
        <f t="shared" si="2"/>
        <v>13</v>
      </c>
      <c r="AS22" s="5">
        <f t="shared" si="10"/>
        <v>13.020000000000003</v>
      </c>
      <c r="AT22" s="5">
        <f t="shared" si="11"/>
        <v>13</v>
      </c>
      <c r="AV22" s="81">
        <f t="shared" si="5"/>
        <v>1</v>
      </c>
      <c r="AW22" s="81">
        <f t="shared" si="6"/>
        <v>0.99846390168970789</v>
      </c>
      <c r="AX22" s="81">
        <f t="shared" si="7"/>
        <v>1</v>
      </c>
    </row>
    <row r="23" spans="1:50" s="81" customFormat="1" ht="23.25">
      <c r="A23" s="82" t="s">
        <v>27</v>
      </c>
      <c r="B23" s="82">
        <v>422</v>
      </c>
      <c r="C23" s="25">
        <v>3702</v>
      </c>
      <c r="D23" s="82">
        <v>402</v>
      </c>
      <c r="E23" s="82" t="s">
        <v>40</v>
      </c>
      <c r="F23" s="36">
        <v>65426</v>
      </c>
      <c r="G23" s="36">
        <v>65820</v>
      </c>
      <c r="H23" s="54">
        <v>0.39400000000000002</v>
      </c>
      <c r="I23" s="34">
        <v>2</v>
      </c>
      <c r="J23" s="82" t="s">
        <v>227</v>
      </c>
      <c r="K23" s="83">
        <v>42231</v>
      </c>
      <c r="L23" s="13" t="s">
        <v>114</v>
      </c>
      <c r="M23" s="147">
        <v>0.13</v>
      </c>
      <c r="N23" s="147">
        <v>0.03</v>
      </c>
      <c r="O23" s="147">
        <v>0.04</v>
      </c>
      <c r="P23" s="147">
        <v>0.19</v>
      </c>
      <c r="Q23" s="147">
        <v>4.8862500000000004</v>
      </c>
      <c r="R23" s="147">
        <v>0.22</v>
      </c>
      <c r="S23" s="147">
        <v>7.0000000000000007E-2</v>
      </c>
      <c r="T23" s="147">
        <v>0.03</v>
      </c>
      <c r="U23" s="147">
        <v>0.06</v>
      </c>
      <c r="V23" s="147">
        <v>9.7754600000000007</v>
      </c>
      <c r="W23" s="147">
        <v>0</v>
      </c>
      <c r="X23" s="147">
        <v>0</v>
      </c>
      <c r="Y23" s="54">
        <v>0.39400000000000002</v>
      </c>
      <c r="Z23" s="147">
        <v>1.87775</v>
      </c>
      <c r="AA23" s="100">
        <v>15.97</v>
      </c>
      <c r="AB23" s="147">
        <v>5.34</v>
      </c>
      <c r="AC23" s="99">
        <v>4.7876000000000002E-2</v>
      </c>
      <c r="AD23" s="99">
        <v>102.36</v>
      </c>
      <c r="AE23" s="99">
        <v>0.26290599999999997</v>
      </c>
      <c r="AF23" s="99">
        <v>154</v>
      </c>
      <c r="AG23" s="99">
        <v>0.39554099999999998</v>
      </c>
      <c r="AH23" s="99">
        <v>26.47</v>
      </c>
      <c r="AI23" s="84">
        <v>6.7987000000000006E-2</v>
      </c>
      <c r="AK23" s="81">
        <f t="shared" si="8"/>
        <v>2.67</v>
      </c>
      <c r="AL23" s="5">
        <f t="shared" si="0"/>
        <v>118.77918</v>
      </c>
      <c r="AM23" s="3">
        <f t="shared" si="1"/>
        <v>0.39</v>
      </c>
      <c r="AN23" s="3">
        <f t="shared" si="12"/>
        <v>0.38000000000000006</v>
      </c>
      <c r="AO23" s="10">
        <v>0.39400000000000002</v>
      </c>
      <c r="AQ23" s="29">
        <f t="shared" si="9"/>
        <v>4.0000000000000036E-3</v>
      </c>
      <c r="AR23" s="5">
        <f t="shared" si="2"/>
        <v>0.39</v>
      </c>
      <c r="AS23" s="5">
        <f t="shared" si="10"/>
        <v>0.38000000000000006</v>
      </c>
      <c r="AT23" s="5">
        <f t="shared" si="11"/>
        <v>0.39400000000000002</v>
      </c>
      <c r="AV23" s="81">
        <f t="shared" si="5"/>
        <v>1.0102564102564102</v>
      </c>
      <c r="AW23" s="81">
        <f t="shared" si="6"/>
        <v>1.0368421052631578</v>
      </c>
      <c r="AX23" s="81">
        <f t="shared" si="7"/>
        <v>1</v>
      </c>
    </row>
    <row r="24" spans="1:50" ht="23.25">
      <c r="A24" s="23"/>
      <c r="B24" s="23"/>
      <c r="C24" s="23"/>
      <c r="D24" s="23"/>
      <c r="E24" s="156"/>
      <c r="F24" s="205" t="s">
        <v>111</v>
      </c>
      <c r="G24" s="205"/>
      <c r="H24" s="160">
        <v>256.55500000000001</v>
      </c>
      <c r="I24" s="154"/>
      <c r="J24" s="154"/>
      <c r="K24" s="154"/>
      <c r="L24" s="154"/>
      <c r="M24" s="151">
        <f t="shared" ref="M24:P24" si="13">SUM(M4:M23)</f>
        <v>89.018999999999991</v>
      </c>
      <c r="N24" s="151">
        <f t="shared" si="13"/>
        <v>64.229000000000013</v>
      </c>
      <c r="O24" s="151">
        <f t="shared" si="13"/>
        <v>55.464999999999996</v>
      </c>
      <c r="P24" s="151">
        <f t="shared" si="13"/>
        <v>43.952999999999996</v>
      </c>
      <c r="Q24" s="151" t="s">
        <v>112</v>
      </c>
      <c r="R24" s="151">
        <f t="shared" ref="R24:U24" si="14">SUM(R4:R23)</f>
        <v>222.35199999999995</v>
      </c>
      <c r="S24" s="151">
        <f t="shared" si="14"/>
        <v>22.627000000000002</v>
      </c>
      <c r="T24" s="151">
        <f t="shared" si="14"/>
        <v>5.0460000000000003</v>
      </c>
      <c r="U24" s="151">
        <f t="shared" si="14"/>
        <v>2.7700000000000005</v>
      </c>
      <c r="V24" s="151" t="s">
        <v>112</v>
      </c>
      <c r="W24" s="151">
        <f t="shared" ref="W24:X24" si="15">SUM(W4:W23)</f>
        <v>0</v>
      </c>
      <c r="X24" s="151">
        <f t="shared" si="15"/>
        <v>2.5000000000000001E-2</v>
      </c>
      <c r="Y24" s="151">
        <f>SUM(Y4:Y23)</f>
        <v>256.565</v>
      </c>
      <c r="Z24" s="151" t="s">
        <v>112</v>
      </c>
      <c r="AA24" s="151">
        <f>SUM(AA4:AA23)</f>
        <v>1346.65</v>
      </c>
      <c r="AB24" s="151">
        <f>SUM(AB4:AB23)</f>
        <v>1097.1670000000001</v>
      </c>
      <c r="AC24" s="155" t="s">
        <v>112</v>
      </c>
      <c r="AD24" s="155">
        <f>SUM(AD4:AD23)</f>
        <v>239.16000000000003</v>
      </c>
      <c r="AE24" s="155" t="s">
        <v>112</v>
      </c>
      <c r="AF24" s="155">
        <f>SUM(AF4:AF23)</f>
        <v>951.16499999999996</v>
      </c>
      <c r="AG24" s="155" t="s">
        <v>112</v>
      </c>
      <c r="AH24" s="155">
        <f>SUM(AH4:AH23)</f>
        <v>165.6</v>
      </c>
      <c r="AI24" s="160" t="s">
        <v>112</v>
      </c>
      <c r="AK24" s="80"/>
      <c r="AL24" s="5">
        <f>SUM(AL4:AL23)/H24</f>
        <v>166.56459506928334</v>
      </c>
      <c r="AM24" s="27">
        <f>SUM(AM4:AM23)</f>
        <v>252.66599999999994</v>
      </c>
      <c r="AN24" s="27">
        <f>SUM(AN4:AN23)</f>
        <v>252.79499999999996</v>
      </c>
      <c r="AO24" s="7">
        <f>SUM(AO4:AO23)</f>
        <v>273.81200000000001</v>
      </c>
      <c r="AQ24" s="29">
        <f>SUM(AQ4:AQ23)</f>
        <v>21.146000000000004</v>
      </c>
    </row>
    <row r="25" spans="1:50" ht="23.25">
      <c r="A25" s="23"/>
      <c r="B25" s="23"/>
      <c r="C25" s="23"/>
      <c r="D25" s="23"/>
      <c r="E25" s="156"/>
      <c r="F25" s="205" t="s">
        <v>113</v>
      </c>
      <c r="G25" s="205"/>
      <c r="H25" s="154"/>
      <c r="I25" s="154"/>
      <c r="J25" s="154"/>
      <c r="K25" s="154"/>
      <c r="L25" s="154"/>
      <c r="M25" s="151" t="s">
        <v>112</v>
      </c>
      <c r="N25" s="151" t="s">
        <v>112</v>
      </c>
      <c r="O25" s="151" t="s">
        <v>112</v>
      </c>
      <c r="P25" s="151" t="s">
        <v>112</v>
      </c>
      <c r="Q25" s="147">
        <v>2.9</v>
      </c>
      <c r="R25" s="151" t="s">
        <v>112</v>
      </c>
      <c r="S25" s="151" t="s">
        <v>112</v>
      </c>
      <c r="T25" s="151" t="s">
        <v>112</v>
      </c>
      <c r="U25" s="151" t="s">
        <v>112</v>
      </c>
      <c r="V25" s="142">
        <v>6.13</v>
      </c>
      <c r="W25" s="151" t="s">
        <v>112</v>
      </c>
      <c r="X25" s="151" t="s">
        <v>112</v>
      </c>
      <c r="Y25" s="151" t="s">
        <v>112</v>
      </c>
      <c r="Z25" s="151">
        <f>SUMPRODUCT(Z4:Z23,H4:H23)/H24</f>
        <v>1.2765687568357662</v>
      </c>
      <c r="AA25" s="151" t="s">
        <v>112</v>
      </c>
      <c r="AB25" s="151" t="s">
        <v>112</v>
      </c>
      <c r="AC25" s="155">
        <f>SUMPRODUCT(AC4:AC23,H4:H23)/H24</f>
        <v>0.20881943586476864</v>
      </c>
      <c r="AD25" s="155" t="s">
        <v>112</v>
      </c>
      <c r="AE25" s="155">
        <f>SUMPRODUCT(AE4:AE23,H4:H23)/H24</f>
        <v>1.58586287418181E-2</v>
      </c>
      <c r="AF25" s="155" t="s">
        <v>112</v>
      </c>
      <c r="AG25" s="155">
        <f>SUMPRODUCT(AG4:AG23,H4:H23)/H24</f>
        <v>9.0025671547454306E-2</v>
      </c>
      <c r="AH25" s="155" t="s">
        <v>112</v>
      </c>
      <c r="AI25" s="160">
        <f>SUMPRODUCT(AO4:AO23,H4:H23)/H24</f>
        <v>17.291277398608486</v>
      </c>
      <c r="AK25" s="80"/>
      <c r="AL25"/>
      <c r="AM25" s="3">
        <f>((AM24-H24)/H24)*100</f>
        <v>-1.5158543002475364</v>
      </c>
      <c r="AN25" s="3">
        <f>((AN24-H24)/H24)*100</f>
        <v>-1.4655726842197765</v>
      </c>
      <c r="AO25" s="30"/>
    </row>
    <row r="26" spans="1:50" ht="15"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E26" s="21"/>
      <c r="AF26" s="87"/>
    </row>
    <row r="27" spans="1:50" ht="15">
      <c r="AE27" s="19"/>
      <c r="AF27" s="20"/>
    </row>
    <row r="28" spans="1:50" ht="15">
      <c r="AE28" s="19"/>
      <c r="AF28" s="20"/>
    </row>
    <row r="30" spans="1:50" ht="23.25">
      <c r="A30" s="98" t="s">
        <v>220</v>
      </c>
      <c r="B30" s="98"/>
      <c r="C30" s="98"/>
      <c r="D30" s="98"/>
      <c r="E30" s="80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71"/>
      <c r="AF30" s="72"/>
      <c r="AG30" s="55"/>
      <c r="AI30" s="55"/>
      <c r="AJ30" s="55"/>
      <c r="AK30" s="55"/>
      <c r="AL30" s="55"/>
      <c r="AM30" s="55"/>
      <c r="AN30" s="55"/>
    </row>
    <row r="31" spans="1:50" ht="76.5" customHeight="1">
      <c r="A31" s="171" t="s">
        <v>117</v>
      </c>
      <c r="B31" s="171" t="s">
        <v>0</v>
      </c>
      <c r="C31" s="193" t="s">
        <v>1</v>
      </c>
      <c r="D31" s="195" t="s">
        <v>2</v>
      </c>
      <c r="E31" s="171" t="s">
        <v>3</v>
      </c>
      <c r="F31" s="171" t="s">
        <v>235</v>
      </c>
      <c r="G31" s="171" t="s">
        <v>236</v>
      </c>
      <c r="H31" s="190" t="s">
        <v>237</v>
      </c>
      <c r="I31" s="171" t="s">
        <v>5</v>
      </c>
      <c r="J31" s="171" t="s">
        <v>6</v>
      </c>
      <c r="K31" s="185" t="s">
        <v>7</v>
      </c>
      <c r="L31" s="171" t="s">
        <v>8</v>
      </c>
      <c r="M31" s="187" t="s">
        <v>238</v>
      </c>
      <c r="N31" s="188"/>
      <c r="O31" s="188"/>
      <c r="P31" s="189"/>
      <c r="Q31" s="183" t="s">
        <v>239</v>
      </c>
      <c r="R31" s="177" t="s">
        <v>242</v>
      </c>
      <c r="S31" s="178"/>
      <c r="T31" s="179"/>
      <c r="U31" s="183" t="s">
        <v>243</v>
      </c>
      <c r="V31" s="175" t="s">
        <v>205</v>
      </c>
      <c r="W31" s="175" t="s">
        <v>264</v>
      </c>
      <c r="X31" s="175" t="s">
        <v>265</v>
      </c>
      <c r="Y31" s="131" t="s">
        <v>206</v>
      </c>
      <c r="Z31" s="175" t="s">
        <v>207</v>
      </c>
      <c r="AA31" s="175" t="s">
        <v>266</v>
      </c>
      <c r="AB31" s="175" t="s">
        <v>250</v>
      </c>
      <c r="AC31" s="168" t="s">
        <v>212</v>
      </c>
      <c r="AD31" s="76"/>
      <c r="AE31" s="76"/>
      <c r="AF31" s="76"/>
      <c r="AG31" s="67"/>
      <c r="AH31" s="71"/>
      <c r="AI31" s="72"/>
      <c r="AJ31" s="55"/>
      <c r="AK31" s="80"/>
      <c r="AL31" s="55"/>
      <c r="AM31" s="55"/>
      <c r="AN31" s="55"/>
      <c r="AO31" s="55"/>
      <c r="AP31" s="55"/>
      <c r="AQ31" s="55"/>
    </row>
    <row r="32" spans="1:50" ht="23.25">
      <c r="A32" s="172"/>
      <c r="B32" s="172"/>
      <c r="C32" s="194"/>
      <c r="D32" s="196"/>
      <c r="E32" s="172"/>
      <c r="F32" s="172"/>
      <c r="G32" s="172"/>
      <c r="H32" s="191"/>
      <c r="I32" s="172"/>
      <c r="J32" s="172"/>
      <c r="K32" s="186"/>
      <c r="L32" s="172"/>
      <c r="M32" s="143" t="s">
        <v>253</v>
      </c>
      <c r="N32" s="144" t="s">
        <v>254</v>
      </c>
      <c r="O32" s="144" t="s">
        <v>255</v>
      </c>
      <c r="P32" s="143" t="s">
        <v>256</v>
      </c>
      <c r="Q32" s="184"/>
      <c r="R32" s="143" t="s">
        <v>261</v>
      </c>
      <c r="S32" s="144" t="s">
        <v>262</v>
      </c>
      <c r="T32" s="143" t="s">
        <v>263</v>
      </c>
      <c r="U32" s="184"/>
      <c r="V32" s="176"/>
      <c r="W32" s="176"/>
      <c r="X32" s="176"/>
      <c r="Y32" s="132"/>
      <c r="Z32" s="176"/>
      <c r="AA32" s="176"/>
      <c r="AB32" s="176"/>
      <c r="AC32" s="135" t="s">
        <v>267</v>
      </c>
      <c r="AD32" s="77"/>
      <c r="AE32" s="77"/>
      <c r="AF32" s="77"/>
      <c r="AG32" s="67"/>
      <c r="AH32" s="71"/>
      <c r="AI32" s="72"/>
      <c r="AJ32" s="55"/>
      <c r="AK32" s="80"/>
      <c r="AL32" s="55"/>
      <c r="AM32" s="55"/>
      <c r="AN32" s="55"/>
      <c r="AO32" s="55"/>
      <c r="AP32" s="55"/>
      <c r="AQ32" s="55"/>
    </row>
    <row r="33" spans="1:43" ht="23.25">
      <c r="A33" s="68" t="s">
        <v>27</v>
      </c>
      <c r="B33" s="70">
        <v>422</v>
      </c>
      <c r="C33" s="70">
        <v>315</v>
      </c>
      <c r="D33" s="70">
        <v>200</v>
      </c>
      <c r="E33" s="70" t="s">
        <v>28</v>
      </c>
      <c r="F33" s="74" t="s">
        <v>213</v>
      </c>
      <c r="G33" s="74" t="s">
        <v>214</v>
      </c>
      <c r="H33" s="73">
        <v>18.420000000000002</v>
      </c>
      <c r="I33" s="75">
        <v>4</v>
      </c>
      <c r="J33" s="70" t="s">
        <v>226</v>
      </c>
      <c r="K33" s="69">
        <v>42229</v>
      </c>
      <c r="L33" s="68" t="s">
        <v>210</v>
      </c>
      <c r="M33" s="101">
        <v>0.2</v>
      </c>
      <c r="N33" s="101">
        <v>2.65</v>
      </c>
      <c r="O33" s="101">
        <v>9.3000000000000007</v>
      </c>
      <c r="P33" s="101">
        <v>4.9000000000000004</v>
      </c>
      <c r="Q33" s="101">
        <v>4.6646000000000001</v>
      </c>
      <c r="R33" s="101">
        <v>0</v>
      </c>
      <c r="S33" s="101">
        <v>0</v>
      </c>
      <c r="T33" s="101">
        <v>18.420000000000002</v>
      </c>
      <c r="U33" s="101">
        <v>1.1304000000000001</v>
      </c>
      <c r="V33" s="95">
        <v>542</v>
      </c>
      <c r="W33" s="95">
        <v>431</v>
      </c>
      <c r="X33" s="95">
        <v>95</v>
      </c>
      <c r="Y33" s="95">
        <v>100</v>
      </c>
      <c r="Z33" s="95">
        <v>0</v>
      </c>
      <c r="AA33" s="101">
        <v>600.66999999999996</v>
      </c>
      <c r="AB33" s="101">
        <v>1.0024532710280374</v>
      </c>
      <c r="AC33" s="95">
        <v>1</v>
      </c>
      <c r="AD33" s="78"/>
      <c r="AE33" s="78"/>
      <c r="AF33" s="78"/>
      <c r="AG33" s="67"/>
      <c r="AH33" s="67"/>
      <c r="AI33" s="67"/>
      <c r="AJ33" s="55"/>
      <c r="AK33" s="80"/>
      <c r="AL33" s="55"/>
      <c r="AM33" s="55"/>
      <c r="AN33" s="55"/>
      <c r="AO33" s="55"/>
      <c r="AP33" s="55"/>
      <c r="AQ33" s="55"/>
    </row>
    <row r="34" spans="1:43" ht="23.25">
      <c r="A34" s="68" t="s">
        <v>27</v>
      </c>
      <c r="B34" s="70">
        <v>422</v>
      </c>
      <c r="C34" s="70">
        <v>315</v>
      </c>
      <c r="D34" s="70">
        <v>200</v>
      </c>
      <c r="E34" s="70" t="s">
        <v>28</v>
      </c>
      <c r="F34" s="74" t="s">
        <v>231</v>
      </c>
      <c r="G34" s="74" t="s">
        <v>213</v>
      </c>
      <c r="H34" s="88">
        <v>17.309999999999999</v>
      </c>
      <c r="I34" s="75">
        <v>4</v>
      </c>
      <c r="J34" s="70" t="s">
        <v>94</v>
      </c>
      <c r="K34" s="69">
        <v>42229</v>
      </c>
      <c r="L34" s="68" t="s">
        <v>210</v>
      </c>
      <c r="M34" s="101">
        <v>7.4999999999999997E-2</v>
      </c>
      <c r="N34" s="101">
        <v>3.1749999999999998</v>
      </c>
      <c r="O34" s="101">
        <v>10.525</v>
      </c>
      <c r="P34" s="101">
        <v>3.4</v>
      </c>
      <c r="Q34" s="101">
        <v>4.2857000000000003</v>
      </c>
      <c r="R34" s="101">
        <v>0</v>
      </c>
      <c r="S34" s="101">
        <v>0</v>
      </c>
      <c r="T34" s="101">
        <v>17.309999999999999</v>
      </c>
      <c r="U34" s="101">
        <v>1.16791</v>
      </c>
      <c r="V34" s="95">
        <v>431</v>
      </c>
      <c r="W34" s="95">
        <v>292</v>
      </c>
      <c r="X34" s="95">
        <v>192</v>
      </c>
      <c r="Y34" s="95">
        <v>66</v>
      </c>
      <c r="Z34" s="95">
        <v>6</v>
      </c>
      <c r="AA34" s="101">
        <v>462.56</v>
      </c>
      <c r="AB34" s="101">
        <v>0.77196261682242995</v>
      </c>
      <c r="AC34" s="95">
        <v>22</v>
      </c>
      <c r="AD34" s="78"/>
      <c r="AE34" s="78"/>
      <c r="AF34" s="78"/>
      <c r="AG34" s="67"/>
      <c r="AH34" s="67"/>
      <c r="AI34" s="67"/>
      <c r="AJ34" s="55"/>
      <c r="AK34" s="80"/>
      <c r="AL34" s="55"/>
      <c r="AM34" s="55"/>
      <c r="AN34" s="55"/>
      <c r="AO34" s="55"/>
      <c r="AP34" s="55"/>
      <c r="AQ34" s="55"/>
    </row>
    <row r="35" spans="1:43" ht="23.25">
      <c r="A35" s="67"/>
      <c r="B35" s="67"/>
      <c r="C35" s="67"/>
      <c r="D35" s="67"/>
      <c r="E35" s="153"/>
      <c r="F35" s="181" t="s">
        <v>111</v>
      </c>
      <c r="G35" s="182"/>
      <c r="H35" s="161">
        <v>35.729999999999997</v>
      </c>
      <c r="I35" s="162"/>
      <c r="J35" s="162"/>
      <c r="K35" s="162"/>
      <c r="L35" s="162"/>
      <c r="M35" s="152">
        <v>0.27500000000000002</v>
      </c>
      <c r="N35" s="152">
        <v>5.8280000000000003</v>
      </c>
      <c r="O35" s="152">
        <v>19.834</v>
      </c>
      <c r="P35" s="152">
        <v>8.3040000000000003</v>
      </c>
      <c r="Q35" s="152" t="s">
        <v>112</v>
      </c>
      <c r="R35" s="152">
        <f t="shared" ref="R35:S35" si="16">SUM(R33:R34)</f>
        <v>0</v>
      </c>
      <c r="S35" s="152">
        <f t="shared" si="16"/>
        <v>0</v>
      </c>
      <c r="T35" s="152">
        <f>SUM(T33:T34)</f>
        <v>35.730000000000004</v>
      </c>
      <c r="U35" s="152" t="s">
        <v>112</v>
      </c>
      <c r="V35" s="163">
        <f t="shared" ref="V35:W35" si="17">SUM(V33:V34)</f>
        <v>973</v>
      </c>
      <c r="W35" s="163">
        <f t="shared" si="17"/>
        <v>723</v>
      </c>
      <c r="X35" s="163">
        <v>287</v>
      </c>
      <c r="Y35" s="163">
        <v>166</v>
      </c>
      <c r="Z35" s="163">
        <v>6</v>
      </c>
      <c r="AA35" s="152">
        <v>1063.23</v>
      </c>
      <c r="AB35" s="152" t="s">
        <v>112</v>
      </c>
      <c r="AC35" s="163">
        <v>23</v>
      </c>
      <c r="AD35" s="164"/>
      <c r="AE35" s="79"/>
      <c r="AF35" s="79"/>
      <c r="AG35" s="67"/>
      <c r="AH35" s="67"/>
      <c r="AI35" s="67"/>
      <c r="AJ35" s="55"/>
      <c r="AK35" s="80"/>
      <c r="AL35" s="55"/>
      <c r="AM35" s="55"/>
      <c r="AN35" s="55"/>
      <c r="AO35" s="55"/>
      <c r="AP35" s="55"/>
      <c r="AQ35" s="55"/>
    </row>
    <row r="36" spans="1:43" ht="23.25">
      <c r="A36" s="67"/>
      <c r="B36" s="67"/>
      <c r="C36" s="67"/>
      <c r="D36" s="67"/>
      <c r="E36" s="153"/>
      <c r="F36" s="181" t="s">
        <v>113</v>
      </c>
      <c r="G36" s="182"/>
      <c r="H36" s="162"/>
      <c r="I36" s="162"/>
      <c r="J36" s="162"/>
      <c r="K36" s="162"/>
      <c r="L36" s="162"/>
      <c r="M36" s="158" t="s">
        <v>112</v>
      </c>
      <c r="N36" s="158" t="s">
        <v>112</v>
      </c>
      <c r="O36" s="158" t="s">
        <v>112</v>
      </c>
      <c r="P36" s="158" t="s">
        <v>112</v>
      </c>
      <c r="Q36" s="158">
        <v>4.4751500000000011</v>
      </c>
      <c r="R36" s="158" t="s">
        <v>112</v>
      </c>
      <c r="S36" s="158" t="s">
        <v>112</v>
      </c>
      <c r="T36" s="158" t="s">
        <v>112</v>
      </c>
      <c r="U36" s="158">
        <v>1.1491550000000001</v>
      </c>
      <c r="V36" s="157" t="s">
        <v>112</v>
      </c>
      <c r="W36" s="157" t="s">
        <v>112</v>
      </c>
      <c r="X36" s="157" t="s">
        <v>112</v>
      </c>
      <c r="Y36" s="157" t="s">
        <v>112</v>
      </c>
      <c r="Z36" s="157" t="s">
        <v>112</v>
      </c>
      <c r="AA36" s="158" t="s">
        <v>112</v>
      </c>
      <c r="AB36" s="158">
        <v>0.88720794392523372</v>
      </c>
      <c r="AC36" s="159" t="s">
        <v>112</v>
      </c>
      <c r="AD36" s="164"/>
      <c r="AE36" s="79"/>
      <c r="AF36" s="79"/>
      <c r="AG36" s="67"/>
      <c r="AH36" s="67"/>
      <c r="AI36" s="67"/>
      <c r="AJ36" s="55"/>
      <c r="AK36" s="80"/>
      <c r="AL36" s="55"/>
      <c r="AM36" s="55"/>
      <c r="AN36" s="55"/>
      <c r="AO36" s="55"/>
      <c r="AP36" s="55"/>
      <c r="AQ36" s="55"/>
    </row>
    <row r="37" spans="1:43"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67"/>
      <c r="AA37" s="153"/>
      <c r="AB37" s="153"/>
      <c r="AC37" s="153"/>
      <c r="AD37" s="153"/>
    </row>
  </sheetData>
  <mergeCells count="55">
    <mergeCell ref="R2:U2"/>
    <mergeCell ref="V2:V3"/>
    <mergeCell ref="W2:Y2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  <mergeCell ref="F36:G36"/>
    <mergeCell ref="H31:H32"/>
    <mergeCell ref="I31:I32"/>
    <mergeCell ref="J31:J32"/>
    <mergeCell ref="F31:F32"/>
    <mergeCell ref="G31:G32"/>
    <mergeCell ref="M31:P31"/>
    <mergeCell ref="K31:K32"/>
    <mergeCell ref="L31:L32"/>
    <mergeCell ref="B31:B32"/>
    <mergeCell ref="C31:C32"/>
    <mergeCell ref="D31:D32"/>
    <mergeCell ref="E31:E32"/>
    <mergeCell ref="F35:G35"/>
    <mergeCell ref="A31:A32"/>
    <mergeCell ref="AO2:AO3"/>
    <mergeCell ref="F24:G24"/>
    <mergeCell ref="F25:G25"/>
    <mergeCell ref="AG2:AG3"/>
    <mergeCell ref="AH2:AH3"/>
    <mergeCell ref="F2:F3"/>
    <mergeCell ref="AB31:AB32"/>
    <mergeCell ref="Q31:Q32"/>
    <mergeCell ref="U31:U32"/>
    <mergeCell ref="V31:V32"/>
    <mergeCell ref="W31:W32"/>
    <mergeCell ref="X31:X32"/>
    <mergeCell ref="Z31:Z32"/>
    <mergeCell ref="AA31:AA32"/>
    <mergeCell ref="R31:T31"/>
    <mergeCell ref="A1:E1"/>
    <mergeCell ref="A2:A3"/>
    <mergeCell ref="B2:B3"/>
    <mergeCell ref="C2:C3"/>
    <mergeCell ref="D2:D3"/>
    <mergeCell ref="E2:E3"/>
  </mergeCells>
  <printOptions horizontalCentered="1"/>
  <pageMargins left="0.64624999999999999" right="0.25" top="0.75" bottom="0.75" header="0.3" footer="0.3"/>
  <pageSetup paperSize="8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5"/>
  <sheetViews>
    <sheetView view="pageLayout" zoomScale="85" zoomScaleNormal="85" zoomScalePageLayoutView="85" workbookViewId="0">
      <selection activeCell="I20" sqref="I20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style="6" customWidth="1"/>
    <col min="25" max="25" width="10.75" style="6" customWidth="1"/>
    <col min="26" max="26" width="11.125" style="6" customWidth="1"/>
    <col min="27" max="27" width="10.125" style="6" customWidth="1"/>
    <col min="28" max="28" width="10.375" style="6" customWidth="1"/>
    <col min="29" max="29" width="21.125" style="6" customWidth="1"/>
    <col min="30" max="30" width="12" style="6" customWidth="1"/>
    <col min="31" max="31" width="9.125" style="6" customWidth="1"/>
    <col min="32" max="32" width="14.25" style="6" customWidth="1"/>
    <col min="33" max="33" width="11" customWidth="1"/>
    <col min="34" max="34" width="11.75" style="80" customWidth="1"/>
    <col min="35" max="35" width="9" customWidth="1"/>
    <col min="37" max="37" width="9.125" bestFit="1" customWidth="1"/>
    <col min="38" max="38" width="12.125" bestFit="1" customWidth="1"/>
    <col min="39" max="40" width="9.125" bestFit="1" customWidth="1"/>
  </cols>
  <sheetData>
    <row r="1" spans="1:45" s="1" customFormat="1" ht="23.25">
      <c r="A1" s="192" t="s">
        <v>221</v>
      </c>
      <c r="B1" s="192"/>
      <c r="C1" s="192"/>
      <c r="D1" s="192"/>
      <c r="E1" s="19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  <c r="Y1" s="24"/>
      <c r="Z1" s="24"/>
      <c r="AA1" s="24"/>
      <c r="AB1" s="24"/>
      <c r="AC1" s="24"/>
      <c r="AD1" s="24"/>
      <c r="AE1" s="24"/>
      <c r="AF1" s="24"/>
      <c r="AH1" s="80"/>
    </row>
    <row r="2" spans="1:45" s="1" customFormat="1" ht="24.75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244</v>
      </c>
      <c r="AB2" s="202" t="s">
        <v>245</v>
      </c>
      <c r="AC2" s="203" t="s">
        <v>246</v>
      </c>
      <c r="AD2" s="175" t="s">
        <v>247</v>
      </c>
      <c r="AE2" s="183" t="s">
        <v>248</v>
      </c>
      <c r="AF2" s="175" t="s">
        <v>249</v>
      </c>
      <c r="AG2" s="203" t="s">
        <v>250</v>
      </c>
      <c r="AH2" s="175" t="s">
        <v>251</v>
      </c>
      <c r="AI2" s="175" t="s">
        <v>252</v>
      </c>
      <c r="AK2" s="80"/>
    </row>
    <row r="3" spans="1:45" s="1" customFormat="1" ht="43.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</row>
    <row r="4" spans="1:45" s="1" customFormat="1" ht="23.25">
      <c r="A4" s="8" t="s">
        <v>41</v>
      </c>
      <c r="B4" s="8">
        <v>423</v>
      </c>
      <c r="C4" s="25">
        <v>317</v>
      </c>
      <c r="D4" s="14">
        <v>101</v>
      </c>
      <c r="E4" s="8" t="s">
        <v>42</v>
      </c>
      <c r="F4" s="9">
        <v>0</v>
      </c>
      <c r="G4" s="9">
        <v>10000</v>
      </c>
      <c r="H4" s="44">
        <v>10</v>
      </c>
      <c r="I4" s="11">
        <v>4</v>
      </c>
      <c r="J4" s="14" t="s">
        <v>226</v>
      </c>
      <c r="K4" s="15">
        <v>42234</v>
      </c>
      <c r="L4" s="13" t="s">
        <v>114</v>
      </c>
      <c r="M4" s="104">
        <v>7.5750000000000002</v>
      </c>
      <c r="N4" s="104">
        <v>1.7</v>
      </c>
      <c r="O4" s="104">
        <v>0.5</v>
      </c>
      <c r="P4" s="104">
        <v>0.27500000000000002</v>
      </c>
      <c r="Q4" s="104">
        <v>2.78268</v>
      </c>
      <c r="R4" s="104">
        <v>9.625</v>
      </c>
      <c r="S4" s="104">
        <v>0.375</v>
      </c>
      <c r="T4" s="104">
        <v>0.05</v>
      </c>
      <c r="U4" s="104">
        <v>0</v>
      </c>
      <c r="V4" s="104">
        <v>6.9831500000000002</v>
      </c>
      <c r="W4" s="104">
        <v>0</v>
      </c>
      <c r="X4" s="104">
        <v>0</v>
      </c>
      <c r="Y4" s="44">
        <v>10</v>
      </c>
      <c r="Z4" s="104">
        <v>1.1054999999999999</v>
      </c>
      <c r="AA4" s="100">
        <v>68.64</v>
      </c>
      <c r="AB4" s="99">
        <v>0</v>
      </c>
      <c r="AC4" s="99">
        <f>(AA4+AB4*0.5)/(3.5*H4*1000)*100</f>
        <v>0.19611428571428571</v>
      </c>
      <c r="AD4" s="99">
        <v>0</v>
      </c>
      <c r="AE4" s="99">
        <f>AD4/(3.5*H4*1000)*100</f>
        <v>0</v>
      </c>
      <c r="AF4" s="99">
        <v>104</v>
      </c>
      <c r="AG4" s="99">
        <f t="shared" ref="AG4:AG27" si="0">AF4/(3.5*H4*1000)*100</f>
        <v>0.29714285714285715</v>
      </c>
      <c r="AH4" s="99">
        <v>0</v>
      </c>
      <c r="AI4" s="99">
        <v>0</v>
      </c>
      <c r="AJ4" s="2"/>
      <c r="AK4" s="2">
        <f>AB4*0.5</f>
        <v>0</v>
      </c>
      <c r="AL4" s="2">
        <f t="shared" ref="AL4:AL27" si="1">(AA4+AD4+AF4+AH4+AK4)*H4</f>
        <v>1726.3999999999999</v>
      </c>
      <c r="AM4" s="18">
        <f t="shared" ref="AM4:AM27" si="2">SUM(M4:P4)</f>
        <v>10.050000000000001</v>
      </c>
      <c r="AN4" s="18">
        <f t="shared" ref="AN4:AN27" si="3">SUM(R4:U4)</f>
        <v>10.050000000000001</v>
      </c>
      <c r="AP4" s="5"/>
      <c r="AQ4" s="5"/>
      <c r="AR4" s="5"/>
      <c r="AS4" s="5"/>
    </row>
    <row r="5" spans="1:45" s="1" customFormat="1" ht="23.25">
      <c r="A5" s="8" t="s">
        <v>41</v>
      </c>
      <c r="B5" s="8">
        <v>423</v>
      </c>
      <c r="C5" s="25">
        <v>317</v>
      </c>
      <c r="D5" s="14">
        <v>101</v>
      </c>
      <c r="E5" s="8" t="s">
        <v>42</v>
      </c>
      <c r="F5" s="9">
        <v>10000</v>
      </c>
      <c r="G5" s="9">
        <v>0</v>
      </c>
      <c r="H5" s="44">
        <v>10</v>
      </c>
      <c r="I5" s="11">
        <v>4</v>
      </c>
      <c r="J5" s="14" t="s">
        <v>94</v>
      </c>
      <c r="K5" s="15">
        <v>42234</v>
      </c>
      <c r="L5" s="13" t="s">
        <v>114</v>
      </c>
      <c r="M5" s="147">
        <v>5.4</v>
      </c>
      <c r="N5" s="147">
        <v>2.9249999999999998</v>
      </c>
      <c r="O5" s="147">
        <v>1.425</v>
      </c>
      <c r="P5" s="147">
        <v>0.25</v>
      </c>
      <c r="Q5" s="147">
        <v>2.7399399999999998</v>
      </c>
      <c r="R5" s="147">
        <v>9.4749999999999996</v>
      </c>
      <c r="S5" s="147">
        <v>0.5</v>
      </c>
      <c r="T5" s="147">
        <v>0</v>
      </c>
      <c r="U5" s="147">
        <v>2.5000000000000001E-2</v>
      </c>
      <c r="V5" s="147">
        <v>7.0833700000000004</v>
      </c>
      <c r="W5" s="147">
        <v>0</v>
      </c>
      <c r="X5" s="104">
        <v>0</v>
      </c>
      <c r="Y5" s="44">
        <v>10</v>
      </c>
      <c r="Z5" s="104">
        <v>1.19814</v>
      </c>
      <c r="AA5" s="100">
        <v>467.28</v>
      </c>
      <c r="AB5" s="99">
        <v>171.91</v>
      </c>
      <c r="AC5" s="99">
        <v>1.58067</v>
      </c>
      <c r="AD5" s="99">
        <v>7839.71</v>
      </c>
      <c r="AE5" s="99">
        <v>22.3992</v>
      </c>
      <c r="AF5" s="99">
        <f>1275+8917.33</f>
        <v>10192.33</v>
      </c>
      <c r="AG5" s="99">
        <f t="shared" si="0"/>
        <v>29.120942857142857</v>
      </c>
      <c r="AH5" s="99">
        <v>0</v>
      </c>
      <c r="AI5" s="99">
        <v>0</v>
      </c>
      <c r="AJ5" s="2"/>
      <c r="AK5" s="2">
        <f t="shared" ref="AK5:AK27" si="4">AB5*0.5</f>
        <v>85.954999999999998</v>
      </c>
      <c r="AL5" s="2">
        <f t="shared" si="1"/>
        <v>185852.75</v>
      </c>
      <c r="AM5" s="18">
        <f t="shared" si="2"/>
        <v>10</v>
      </c>
      <c r="AN5" s="18">
        <f t="shared" si="3"/>
        <v>10</v>
      </c>
      <c r="AP5" s="5"/>
      <c r="AQ5" s="5"/>
      <c r="AR5" s="5"/>
      <c r="AS5" s="5"/>
    </row>
    <row r="6" spans="1:45" s="1" customFormat="1" ht="23.25">
      <c r="A6" s="8" t="s">
        <v>41</v>
      </c>
      <c r="B6" s="8">
        <v>423</v>
      </c>
      <c r="C6" s="25">
        <v>317</v>
      </c>
      <c r="D6" s="14">
        <v>102</v>
      </c>
      <c r="E6" s="8" t="s">
        <v>43</v>
      </c>
      <c r="F6" s="9">
        <v>10000</v>
      </c>
      <c r="G6" s="9">
        <v>26200</v>
      </c>
      <c r="H6" s="44">
        <v>16.2</v>
      </c>
      <c r="I6" s="11">
        <v>4</v>
      </c>
      <c r="J6" s="14" t="s">
        <v>226</v>
      </c>
      <c r="K6" s="15">
        <v>42234</v>
      </c>
      <c r="L6" s="13" t="s">
        <v>114</v>
      </c>
      <c r="M6" s="147">
        <v>11.371</v>
      </c>
      <c r="N6" s="147">
        <v>3.286</v>
      </c>
      <c r="O6" s="147">
        <v>0.8</v>
      </c>
      <c r="P6" s="147">
        <v>0.74299999999999999</v>
      </c>
      <c r="Q6" s="147">
        <v>2.4351099999999999</v>
      </c>
      <c r="R6" s="147">
        <v>14.337999999999999</v>
      </c>
      <c r="S6" s="147">
        <v>1.542</v>
      </c>
      <c r="T6" s="147">
        <v>0.20599999999999999</v>
      </c>
      <c r="U6" s="147">
        <v>0.114</v>
      </c>
      <c r="V6" s="147">
        <v>6.5087700000000002</v>
      </c>
      <c r="W6" s="147">
        <v>0</v>
      </c>
      <c r="X6" s="104">
        <v>0</v>
      </c>
      <c r="Y6" s="44">
        <v>16.2</v>
      </c>
      <c r="Z6" s="104">
        <v>1.2682800000000001</v>
      </c>
      <c r="AA6" s="100">
        <v>687.84</v>
      </c>
      <c r="AB6" s="99">
        <v>4.09</v>
      </c>
      <c r="AC6" s="99">
        <v>1.3880999999999999</v>
      </c>
      <c r="AD6" s="99">
        <v>33.93</v>
      </c>
      <c r="AE6" s="99">
        <v>6.8269999999999997E-2</v>
      </c>
      <c r="AF6" s="99">
        <v>838</v>
      </c>
      <c r="AG6" s="99">
        <f t="shared" si="0"/>
        <v>1.4779541446208113</v>
      </c>
      <c r="AH6" s="99">
        <v>17.3</v>
      </c>
      <c r="AI6" s="99">
        <v>3.4810000000000001E-2</v>
      </c>
      <c r="AJ6" s="2"/>
      <c r="AK6" s="2">
        <f t="shared" si="4"/>
        <v>2.0449999999999999</v>
      </c>
      <c r="AL6" s="2">
        <f t="shared" si="1"/>
        <v>25581.663</v>
      </c>
      <c r="AM6" s="18">
        <f t="shared" si="2"/>
        <v>16.2</v>
      </c>
      <c r="AN6" s="18">
        <f t="shared" si="3"/>
        <v>16.2</v>
      </c>
      <c r="AP6" s="5"/>
      <c r="AQ6" s="5"/>
      <c r="AR6" s="5"/>
      <c r="AS6" s="5"/>
    </row>
    <row r="7" spans="1:45" s="1" customFormat="1" ht="23.25">
      <c r="A7" s="8" t="s">
        <v>41</v>
      </c>
      <c r="B7" s="8">
        <v>423</v>
      </c>
      <c r="C7" s="25">
        <v>317</v>
      </c>
      <c r="D7" s="14">
        <v>102</v>
      </c>
      <c r="E7" s="8" t="s">
        <v>43</v>
      </c>
      <c r="F7" s="9">
        <v>26200</v>
      </c>
      <c r="G7" s="9">
        <v>10000</v>
      </c>
      <c r="H7" s="44">
        <v>16.2</v>
      </c>
      <c r="I7" s="11">
        <v>4</v>
      </c>
      <c r="J7" s="14" t="s">
        <v>94</v>
      </c>
      <c r="K7" s="15">
        <v>42234</v>
      </c>
      <c r="L7" s="13" t="s">
        <v>114</v>
      </c>
      <c r="M7" s="147">
        <v>13.177</v>
      </c>
      <c r="N7" s="147">
        <v>1.6830000000000001</v>
      </c>
      <c r="O7" s="147">
        <v>0.88400000000000001</v>
      </c>
      <c r="P7" s="147">
        <v>0.45600000000000002</v>
      </c>
      <c r="Q7" s="147">
        <v>2.01701</v>
      </c>
      <c r="R7" s="147">
        <v>15.14</v>
      </c>
      <c r="S7" s="147">
        <v>0.94599999999999995</v>
      </c>
      <c r="T7" s="147">
        <v>0.114</v>
      </c>
      <c r="U7" s="147">
        <v>0</v>
      </c>
      <c r="V7" s="147">
        <v>5.5019299999999998</v>
      </c>
      <c r="W7" s="147">
        <v>0</v>
      </c>
      <c r="X7" s="104">
        <v>0</v>
      </c>
      <c r="Y7" s="44">
        <v>16.2</v>
      </c>
      <c r="Z7" s="104">
        <v>1.28471</v>
      </c>
      <c r="AA7" s="100">
        <v>1110.83</v>
      </c>
      <c r="AB7" s="99">
        <v>444.03</v>
      </c>
      <c r="AC7" s="99">
        <v>2.6817799999999998</v>
      </c>
      <c r="AD7" s="99">
        <v>0</v>
      </c>
      <c r="AE7" s="99">
        <v>0</v>
      </c>
      <c r="AF7" s="99">
        <v>4243</v>
      </c>
      <c r="AG7" s="99">
        <f t="shared" si="0"/>
        <v>7.4832451499118173</v>
      </c>
      <c r="AH7" s="99">
        <v>1469.92</v>
      </c>
      <c r="AI7" s="99">
        <v>2.9575900000000002</v>
      </c>
      <c r="AJ7" s="2"/>
      <c r="AK7" s="2">
        <f t="shared" si="4"/>
        <v>222.01499999999999</v>
      </c>
      <c r="AL7" s="2">
        <f t="shared" si="1"/>
        <v>114141.393</v>
      </c>
      <c r="AM7" s="18">
        <f t="shared" si="2"/>
        <v>16.2</v>
      </c>
      <c r="AN7" s="18">
        <f t="shared" si="3"/>
        <v>16.200000000000003</v>
      </c>
      <c r="AP7" s="5"/>
      <c r="AQ7" s="5"/>
      <c r="AR7" s="5"/>
      <c r="AS7" s="5"/>
    </row>
    <row r="8" spans="1:45" s="1" customFormat="1" ht="23.25">
      <c r="A8" s="8" t="s">
        <v>41</v>
      </c>
      <c r="B8" s="8">
        <v>423</v>
      </c>
      <c r="C8" s="25">
        <v>317</v>
      </c>
      <c r="D8" s="14">
        <v>103</v>
      </c>
      <c r="E8" s="8" t="s">
        <v>44</v>
      </c>
      <c r="F8" s="9">
        <v>45000</v>
      </c>
      <c r="G8" s="9">
        <v>89300</v>
      </c>
      <c r="H8" s="44">
        <v>44.3</v>
      </c>
      <c r="I8" s="11">
        <v>2</v>
      </c>
      <c r="J8" s="14" t="s">
        <v>227</v>
      </c>
      <c r="K8" s="15">
        <v>42234</v>
      </c>
      <c r="L8" s="13" t="s">
        <v>114</v>
      </c>
      <c r="M8" s="147">
        <v>33.088000000000001</v>
      </c>
      <c r="N8" s="147">
        <v>6.3209999999999997</v>
      </c>
      <c r="O8" s="147">
        <v>3.2360000000000002</v>
      </c>
      <c r="P8" s="147">
        <v>1.655</v>
      </c>
      <c r="Q8" s="147">
        <v>2.1089899999999999</v>
      </c>
      <c r="R8" s="147">
        <v>39.375</v>
      </c>
      <c r="S8" s="147">
        <v>4.0999999999999996</v>
      </c>
      <c r="T8" s="147">
        <v>0.55000000000000004</v>
      </c>
      <c r="U8" s="147">
        <v>0.125</v>
      </c>
      <c r="V8" s="147">
        <v>6.1965500000000002</v>
      </c>
      <c r="W8" s="147">
        <v>0</v>
      </c>
      <c r="X8" s="104">
        <v>0</v>
      </c>
      <c r="Y8" s="44">
        <v>44.3</v>
      </c>
      <c r="Z8" s="104">
        <v>1.14131</v>
      </c>
      <c r="AA8" s="100">
        <v>61.24</v>
      </c>
      <c r="AB8" s="99">
        <v>23.69</v>
      </c>
      <c r="AC8" s="99">
        <v>4.7140000000000001E-2</v>
      </c>
      <c r="AD8" s="99">
        <v>0</v>
      </c>
      <c r="AE8" s="99">
        <v>0</v>
      </c>
      <c r="AF8" s="99">
        <v>631</v>
      </c>
      <c r="AG8" s="99">
        <f t="shared" si="0"/>
        <v>0.40696549500161244</v>
      </c>
      <c r="AH8" s="99">
        <v>36.01</v>
      </c>
      <c r="AI8" s="99">
        <v>2.3220000000000001E-2</v>
      </c>
      <c r="AJ8" s="2"/>
      <c r="AK8" s="2">
        <f t="shared" si="4"/>
        <v>11.845000000000001</v>
      </c>
      <c r="AL8" s="2">
        <f t="shared" si="1"/>
        <v>32786.208500000001</v>
      </c>
      <c r="AM8" s="18">
        <f t="shared" si="2"/>
        <v>44.3</v>
      </c>
      <c r="AN8" s="18">
        <f t="shared" si="3"/>
        <v>44.15</v>
      </c>
      <c r="AP8" s="5"/>
      <c r="AQ8" s="5"/>
      <c r="AR8" s="5"/>
      <c r="AS8" s="5"/>
    </row>
    <row r="9" spans="1:45" s="1" customFormat="1" ht="23.25">
      <c r="A9" s="8" t="s">
        <v>41</v>
      </c>
      <c r="B9" s="8">
        <v>423</v>
      </c>
      <c r="C9" s="25">
        <v>3149</v>
      </c>
      <c r="D9" s="14">
        <v>100</v>
      </c>
      <c r="E9" s="8" t="s">
        <v>45</v>
      </c>
      <c r="F9" s="9">
        <v>0</v>
      </c>
      <c r="G9" s="9">
        <v>15802</v>
      </c>
      <c r="H9" s="44">
        <v>15.802</v>
      </c>
      <c r="I9" s="11">
        <v>2</v>
      </c>
      <c r="J9" s="14" t="s">
        <v>227</v>
      </c>
      <c r="K9" s="15">
        <v>42234</v>
      </c>
      <c r="L9" s="13" t="s">
        <v>114</v>
      </c>
      <c r="M9" s="147">
        <v>11.8</v>
      </c>
      <c r="N9" s="147">
        <v>2.9</v>
      </c>
      <c r="O9" s="147">
        <v>0.85</v>
      </c>
      <c r="P9" s="147">
        <v>0.27500000000000002</v>
      </c>
      <c r="Q9" s="147">
        <v>2.2018499999999999</v>
      </c>
      <c r="R9" s="147">
        <v>14.475</v>
      </c>
      <c r="S9" s="147">
        <v>1.25</v>
      </c>
      <c r="T9" s="147">
        <v>7.4999999999999997E-2</v>
      </c>
      <c r="U9" s="147">
        <v>2.5000000000000001E-2</v>
      </c>
      <c r="V9" s="147">
        <v>5.5490899999999996</v>
      </c>
      <c r="W9" s="147">
        <v>0</v>
      </c>
      <c r="X9" s="104">
        <v>0</v>
      </c>
      <c r="Y9" s="44">
        <v>15.802</v>
      </c>
      <c r="Z9" s="104">
        <v>1.16615</v>
      </c>
      <c r="AA9" s="100">
        <v>18.98</v>
      </c>
      <c r="AB9" s="99">
        <v>395.63</v>
      </c>
      <c r="AC9" s="99">
        <v>0.39198</v>
      </c>
      <c r="AD9" s="99">
        <v>4120.2700000000004</v>
      </c>
      <c r="AE9" s="99">
        <v>7.4498199999999999</v>
      </c>
      <c r="AF9" s="99">
        <v>3177</v>
      </c>
      <c r="AG9" s="99">
        <f t="shared" si="0"/>
        <v>5.7442999981919103</v>
      </c>
      <c r="AH9" s="99">
        <v>35.07</v>
      </c>
      <c r="AI9" s="99">
        <v>6.3409999999999994E-2</v>
      </c>
      <c r="AJ9" s="2"/>
      <c r="AK9" s="2">
        <f t="shared" si="4"/>
        <v>197.815</v>
      </c>
      <c r="AL9" s="2">
        <f t="shared" si="1"/>
        <v>119291.43126999999</v>
      </c>
      <c r="AM9" s="18">
        <f t="shared" si="2"/>
        <v>15.825000000000001</v>
      </c>
      <c r="AN9" s="18">
        <f t="shared" si="3"/>
        <v>15.824999999999999</v>
      </c>
      <c r="AP9" s="5"/>
      <c r="AQ9" s="5"/>
      <c r="AR9" s="5"/>
      <c r="AS9" s="5"/>
    </row>
    <row r="10" spans="1:45" s="1" customFormat="1" ht="23.25">
      <c r="A10" s="8" t="s">
        <v>41</v>
      </c>
      <c r="B10" s="8">
        <v>423</v>
      </c>
      <c r="C10" s="25">
        <v>3152</v>
      </c>
      <c r="D10" s="14">
        <v>100</v>
      </c>
      <c r="E10" s="8" t="s">
        <v>46</v>
      </c>
      <c r="F10" s="9">
        <v>0</v>
      </c>
      <c r="G10" s="9">
        <v>3382</v>
      </c>
      <c r="H10" s="44">
        <v>3.3820000000000001</v>
      </c>
      <c r="I10" s="11">
        <v>2</v>
      </c>
      <c r="J10" s="14" t="s">
        <v>95</v>
      </c>
      <c r="K10" s="15">
        <v>42234</v>
      </c>
      <c r="L10" s="13" t="s">
        <v>114</v>
      </c>
      <c r="M10" s="147">
        <v>2.6749999999999998</v>
      </c>
      <c r="N10" s="147">
        <v>0.42499999999999999</v>
      </c>
      <c r="O10" s="147">
        <v>0.25</v>
      </c>
      <c r="P10" s="147">
        <v>0</v>
      </c>
      <c r="Q10" s="147">
        <v>2.5205899999999999</v>
      </c>
      <c r="R10" s="147">
        <v>3.125</v>
      </c>
      <c r="S10" s="147">
        <v>0.22500000000000001</v>
      </c>
      <c r="T10" s="147">
        <v>0</v>
      </c>
      <c r="U10" s="147">
        <v>0</v>
      </c>
      <c r="V10" s="147">
        <v>4.7372100000000001</v>
      </c>
      <c r="W10" s="147">
        <v>0</v>
      </c>
      <c r="X10" s="104">
        <v>0</v>
      </c>
      <c r="Y10" s="44">
        <v>3.3820000000000001</v>
      </c>
      <c r="Z10" s="104">
        <v>1.01495</v>
      </c>
      <c r="AA10" s="100">
        <v>0</v>
      </c>
      <c r="AB10" s="99">
        <v>26.13</v>
      </c>
      <c r="AC10" s="99">
        <v>0.11037</v>
      </c>
      <c r="AD10" s="99">
        <v>1.96</v>
      </c>
      <c r="AE10" s="99">
        <v>1.6559999999999998E-2</v>
      </c>
      <c r="AF10" s="99">
        <v>55</v>
      </c>
      <c r="AG10" s="99">
        <f t="shared" si="0"/>
        <v>0.46464475796232152</v>
      </c>
      <c r="AH10" s="99">
        <v>0</v>
      </c>
      <c r="AI10" s="99">
        <v>0</v>
      </c>
      <c r="AJ10" s="2"/>
      <c r="AK10" s="2">
        <f t="shared" si="4"/>
        <v>13.065</v>
      </c>
      <c r="AL10" s="2">
        <f t="shared" si="1"/>
        <v>236.82455000000002</v>
      </c>
      <c r="AM10" s="18">
        <f t="shared" si="2"/>
        <v>3.3499999999999996</v>
      </c>
      <c r="AN10" s="18">
        <f t="shared" si="3"/>
        <v>3.35</v>
      </c>
      <c r="AP10" s="5"/>
      <c r="AQ10" s="5"/>
      <c r="AR10" s="5"/>
      <c r="AS10" s="5"/>
    </row>
    <row r="11" spans="1:45" s="1" customFormat="1" ht="23.25">
      <c r="A11" s="8" t="s">
        <v>41</v>
      </c>
      <c r="B11" s="8">
        <v>423</v>
      </c>
      <c r="C11" s="25">
        <v>3153</v>
      </c>
      <c r="D11" s="14">
        <v>100</v>
      </c>
      <c r="E11" s="8" t="s">
        <v>47</v>
      </c>
      <c r="F11" s="9">
        <v>0</v>
      </c>
      <c r="G11" s="9">
        <v>7500</v>
      </c>
      <c r="H11" s="44">
        <v>7.5</v>
      </c>
      <c r="I11" s="11">
        <v>2</v>
      </c>
      <c r="J11" s="14" t="s">
        <v>227</v>
      </c>
      <c r="K11" s="15">
        <v>42234</v>
      </c>
      <c r="L11" s="13" t="s">
        <v>114</v>
      </c>
      <c r="M11" s="147">
        <v>2.7</v>
      </c>
      <c r="N11" s="147">
        <v>3.15</v>
      </c>
      <c r="O11" s="147">
        <v>1.2250000000000001</v>
      </c>
      <c r="P11" s="147">
        <v>0.5</v>
      </c>
      <c r="Q11" s="147">
        <v>3.2004700000000001</v>
      </c>
      <c r="R11" s="147">
        <v>7.125</v>
      </c>
      <c r="S11" s="147">
        <v>0.35</v>
      </c>
      <c r="T11" s="147">
        <v>0.1</v>
      </c>
      <c r="U11" s="147">
        <v>0</v>
      </c>
      <c r="V11" s="147">
        <v>6.83338</v>
      </c>
      <c r="W11" s="147">
        <v>0</v>
      </c>
      <c r="X11" s="104">
        <v>0</v>
      </c>
      <c r="Y11" s="44">
        <v>7.5</v>
      </c>
      <c r="Z11" s="104">
        <v>1.01935</v>
      </c>
      <c r="AA11" s="100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f t="shared" si="0"/>
        <v>0</v>
      </c>
      <c r="AH11" s="99">
        <v>1.22</v>
      </c>
      <c r="AI11" s="99">
        <v>4.6499999999999996E-3</v>
      </c>
      <c r="AJ11" s="2"/>
      <c r="AK11" s="2">
        <f t="shared" si="4"/>
        <v>0</v>
      </c>
      <c r="AL11" s="2">
        <f t="shared" si="1"/>
        <v>9.15</v>
      </c>
      <c r="AM11" s="18">
        <f t="shared" si="2"/>
        <v>7.5749999999999993</v>
      </c>
      <c r="AN11" s="18">
        <f t="shared" si="3"/>
        <v>7.5749999999999993</v>
      </c>
      <c r="AP11" s="5"/>
      <c r="AQ11" s="5"/>
      <c r="AR11" s="5"/>
      <c r="AS11" s="5"/>
    </row>
    <row r="12" spans="1:45" s="1" customFormat="1" ht="23.25">
      <c r="A12" s="8" t="s">
        <v>41</v>
      </c>
      <c r="B12" s="8">
        <v>423</v>
      </c>
      <c r="C12" s="25">
        <v>3193</v>
      </c>
      <c r="D12" s="14">
        <v>101</v>
      </c>
      <c r="E12" s="8" t="s">
        <v>48</v>
      </c>
      <c r="F12" s="9">
        <v>0</v>
      </c>
      <c r="G12" s="9">
        <v>34000</v>
      </c>
      <c r="H12" s="44">
        <v>34</v>
      </c>
      <c r="I12" s="11">
        <v>2</v>
      </c>
      <c r="J12" s="14" t="s">
        <v>227</v>
      </c>
      <c r="K12" s="15">
        <v>42234</v>
      </c>
      <c r="L12" s="13" t="s">
        <v>114</v>
      </c>
      <c r="M12" s="147">
        <v>11.223000000000001</v>
      </c>
      <c r="N12" s="147">
        <v>12.005000000000001</v>
      </c>
      <c r="O12" s="147">
        <v>6.9889999999999999</v>
      </c>
      <c r="P12" s="147">
        <v>3.7829999999999999</v>
      </c>
      <c r="Q12" s="147">
        <v>3.2668599999999999</v>
      </c>
      <c r="R12" s="147">
        <v>29.4</v>
      </c>
      <c r="S12" s="147">
        <v>3.75</v>
      </c>
      <c r="T12" s="147">
        <v>0.625</v>
      </c>
      <c r="U12" s="147">
        <v>0.15</v>
      </c>
      <c r="V12" s="147">
        <v>6.1404899999999998</v>
      </c>
      <c r="W12" s="147">
        <v>0</v>
      </c>
      <c r="X12" s="104">
        <v>0</v>
      </c>
      <c r="Y12" s="44">
        <v>34</v>
      </c>
      <c r="Z12" s="104">
        <v>1.3141099999999999</v>
      </c>
      <c r="AA12" s="100">
        <v>252.46</v>
      </c>
      <c r="AB12" s="99">
        <v>117.4</v>
      </c>
      <c r="AC12" s="99">
        <v>0.26147999999999999</v>
      </c>
      <c r="AD12" s="99">
        <v>0</v>
      </c>
      <c r="AE12" s="99">
        <v>0</v>
      </c>
      <c r="AF12" s="99">
        <v>600</v>
      </c>
      <c r="AG12" s="99">
        <f t="shared" si="0"/>
        <v>0.50420168067226889</v>
      </c>
      <c r="AH12" s="99">
        <v>182.23</v>
      </c>
      <c r="AI12" s="99">
        <v>0.15312999999999999</v>
      </c>
      <c r="AJ12" s="2"/>
      <c r="AK12" s="2">
        <f t="shared" si="4"/>
        <v>58.7</v>
      </c>
      <c r="AL12" s="2">
        <f t="shared" si="1"/>
        <v>37175.26</v>
      </c>
      <c r="AM12" s="18">
        <f t="shared" si="2"/>
        <v>34</v>
      </c>
      <c r="AN12" s="18">
        <f t="shared" si="3"/>
        <v>33.924999999999997</v>
      </c>
      <c r="AP12" s="5"/>
      <c r="AQ12" s="5"/>
      <c r="AR12" s="5"/>
      <c r="AS12" s="5"/>
    </row>
    <row r="13" spans="1:45" s="1" customFormat="1" ht="23.25">
      <c r="A13" s="8" t="s">
        <v>41</v>
      </c>
      <c r="B13" s="8">
        <v>423</v>
      </c>
      <c r="C13" s="25">
        <v>3193</v>
      </c>
      <c r="D13" s="14">
        <v>102</v>
      </c>
      <c r="E13" s="8" t="s">
        <v>49</v>
      </c>
      <c r="F13" s="9">
        <v>34000</v>
      </c>
      <c r="G13" s="9">
        <v>67240</v>
      </c>
      <c r="H13" s="44">
        <v>33.14</v>
      </c>
      <c r="I13" s="11">
        <v>2</v>
      </c>
      <c r="J13" s="14" t="s">
        <v>227</v>
      </c>
      <c r="K13" s="15">
        <v>42234</v>
      </c>
      <c r="L13" s="13" t="s">
        <v>114</v>
      </c>
      <c r="M13" s="147">
        <v>15.585000000000001</v>
      </c>
      <c r="N13" s="147">
        <v>9.484</v>
      </c>
      <c r="O13" s="147">
        <v>5.3760000000000003</v>
      </c>
      <c r="P13" s="147">
        <v>2.694</v>
      </c>
      <c r="Q13" s="147">
        <v>3.01153</v>
      </c>
      <c r="R13" s="147">
        <v>26.882000000000001</v>
      </c>
      <c r="S13" s="147">
        <v>4.3860000000000001</v>
      </c>
      <c r="T13" s="147">
        <v>1.2689999999999999</v>
      </c>
      <c r="U13" s="147">
        <v>0.60399999999999998</v>
      </c>
      <c r="V13" s="147">
        <v>6.8283199999999997</v>
      </c>
      <c r="W13" s="147">
        <v>0</v>
      </c>
      <c r="X13" s="104">
        <v>0</v>
      </c>
      <c r="Y13" s="44">
        <v>33.14</v>
      </c>
      <c r="Z13" s="104">
        <v>1.22645</v>
      </c>
      <c r="AA13" s="100">
        <v>313.05040000000002</v>
      </c>
      <c r="AB13" s="99">
        <v>145.58000000000001</v>
      </c>
      <c r="AC13" s="99">
        <v>0.399173</v>
      </c>
      <c r="AD13" s="99">
        <v>0</v>
      </c>
      <c r="AE13" s="99">
        <v>0</v>
      </c>
      <c r="AF13" s="99">
        <v>744</v>
      </c>
      <c r="AG13" s="99">
        <f t="shared" si="0"/>
        <v>0.64143460643158878</v>
      </c>
      <c r="AH13" s="99">
        <v>202.56</v>
      </c>
      <c r="AI13" s="99">
        <v>0.20956</v>
      </c>
      <c r="AJ13" s="2"/>
      <c r="AK13" s="2">
        <f t="shared" si="4"/>
        <v>72.790000000000006</v>
      </c>
      <c r="AL13" s="2">
        <f t="shared" si="1"/>
        <v>44155.749256000003</v>
      </c>
      <c r="AM13" s="18">
        <f t="shared" si="2"/>
        <v>33.139000000000003</v>
      </c>
      <c r="AN13" s="18">
        <f t="shared" si="3"/>
        <v>33.140999999999998</v>
      </c>
      <c r="AP13" s="5"/>
      <c r="AQ13" s="5"/>
      <c r="AR13" s="5"/>
      <c r="AS13" s="5"/>
    </row>
    <row r="14" spans="1:45" s="1" customFormat="1" ht="23.25">
      <c r="A14" s="8" t="s">
        <v>41</v>
      </c>
      <c r="B14" s="8">
        <v>423</v>
      </c>
      <c r="C14" s="25">
        <v>3210</v>
      </c>
      <c r="D14" s="14">
        <v>100</v>
      </c>
      <c r="E14" s="8" t="s">
        <v>50</v>
      </c>
      <c r="F14" s="9">
        <v>14518</v>
      </c>
      <c r="G14" s="9">
        <v>0</v>
      </c>
      <c r="H14" s="44">
        <v>14.518000000000001</v>
      </c>
      <c r="I14" s="11">
        <v>2</v>
      </c>
      <c r="J14" s="14" t="s">
        <v>95</v>
      </c>
      <c r="K14" s="15">
        <v>42234</v>
      </c>
      <c r="L14" s="13" t="s">
        <v>114</v>
      </c>
      <c r="M14" s="147">
        <v>6.6</v>
      </c>
      <c r="N14" s="147">
        <v>3.9</v>
      </c>
      <c r="O14" s="147">
        <v>2.5249999999999999</v>
      </c>
      <c r="P14" s="147">
        <v>1.4750000000000001</v>
      </c>
      <c r="Q14" s="147">
        <v>3.0503300000000002</v>
      </c>
      <c r="R14" s="147">
        <v>13.074999999999999</v>
      </c>
      <c r="S14" s="147">
        <v>1.1000000000000001</v>
      </c>
      <c r="T14" s="147">
        <v>0.27500000000000002</v>
      </c>
      <c r="U14" s="147">
        <v>0.05</v>
      </c>
      <c r="V14" s="147">
        <v>5.2534099999999997</v>
      </c>
      <c r="W14" s="147">
        <v>0</v>
      </c>
      <c r="X14" s="104">
        <v>0</v>
      </c>
      <c r="Y14" s="44">
        <v>14.518000000000001</v>
      </c>
      <c r="Z14" s="104">
        <v>1.21716</v>
      </c>
      <c r="AA14" s="100">
        <v>1115.68</v>
      </c>
      <c r="AB14" s="99">
        <v>785.91</v>
      </c>
      <c r="AC14" s="99">
        <v>2.9689899999999998</v>
      </c>
      <c r="AD14" s="99">
        <v>0</v>
      </c>
      <c r="AE14" s="99">
        <v>0</v>
      </c>
      <c r="AF14" s="99">
        <v>1406</v>
      </c>
      <c r="AG14" s="99">
        <f t="shared" si="0"/>
        <v>2.7670084427213508</v>
      </c>
      <c r="AH14" s="99">
        <v>346.19</v>
      </c>
      <c r="AI14" s="99">
        <v>0.68130000000000002</v>
      </c>
      <c r="AJ14" s="2"/>
      <c r="AK14" s="2">
        <f t="shared" si="4"/>
        <v>392.95499999999998</v>
      </c>
      <c r="AL14" s="2">
        <f t="shared" si="1"/>
        <v>47340.657350000009</v>
      </c>
      <c r="AM14" s="18">
        <f t="shared" si="2"/>
        <v>14.5</v>
      </c>
      <c r="AN14" s="18">
        <f t="shared" si="3"/>
        <v>14.5</v>
      </c>
      <c r="AP14" s="5"/>
      <c r="AQ14" s="5"/>
      <c r="AR14" s="5"/>
      <c r="AS14" s="5"/>
    </row>
    <row r="15" spans="1:45" s="1" customFormat="1" ht="23.25">
      <c r="A15" s="8" t="s">
        <v>41</v>
      </c>
      <c r="B15" s="8">
        <v>423</v>
      </c>
      <c r="C15" s="25">
        <v>3249</v>
      </c>
      <c r="D15" s="14">
        <v>100</v>
      </c>
      <c r="E15" s="8" t="s">
        <v>51</v>
      </c>
      <c r="F15" s="9">
        <v>0</v>
      </c>
      <c r="G15" s="9">
        <v>59454</v>
      </c>
      <c r="H15" s="44">
        <v>59.454000000000001</v>
      </c>
      <c r="I15" s="11">
        <v>2</v>
      </c>
      <c r="J15" s="14" t="s">
        <v>227</v>
      </c>
      <c r="K15" s="15">
        <v>42234</v>
      </c>
      <c r="L15" s="13" t="s">
        <v>114</v>
      </c>
      <c r="M15" s="147">
        <v>31.08</v>
      </c>
      <c r="N15" s="147">
        <v>17.579999999999998</v>
      </c>
      <c r="O15" s="147">
        <v>7.4</v>
      </c>
      <c r="P15" s="147">
        <v>3.2749999999999999</v>
      </c>
      <c r="Q15" s="147">
        <v>2.84138</v>
      </c>
      <c r="R15" s="147">
        <v>52.1</v>
      </c>
      <c r="S15" s="147">
        <v>6.1749999999999998</v>
      </c>
      <c r="T15" s="147">
        <v>0.75</v>
      </c>
      <c r="U15" s="147">
        <v>0.3</v>
      </c>
      <c r="V15" s="147">
        <v>5.1920200000000003</v>
      </c>
      <c r="W15" s="147">
        <v>0</v>
      </c>
      <c r="X15" s="104">
        <v>0</v>
      </c>
      <c r="Y15" s="44">
        <v>59.454000000000001</v>
      </c>
      <c r="Z15" s="104">
        <v>1.30436</v>
      </c>
      <c r="AA15" s="100">
        <v>0.82</v>
      </c>
      <c r="AB15" s="99">
        <v>18.96</v>
      </c>
      <c r="AC15" s="99">
        <v>4.9500000000000004E-3</v>
      </c>
      <c r="AD15" s="99">
        <v>81.790000000000006</v>
      </c>
      <c r="AE15" s="99">
        <v>3.9309999999999998E-2</v>
      </c>
      <c r="AF15" s="99">
        <v>8</v>
      </c>
      <c r="AG15" s="99">
        <f t="shared" si="0"/>
        <v>3.8445088399675143E-3</v>
      </c>
      <c r="AH15" s="99">
        <v>19.48</v>
      </c>
      <c r="AI15" s="99">
        <v>9.3600000000000003E-3</v>
      </c>
      <c r="AJ15" s="2"/>
      <c r="AK15" s="2">
        <f t="shared" si="4"/>
        <v>9.48</v>
      </c>
      <c r="AL15" s="2">
        <f t="shared" si="1"/>
        <v>7108.9147800000001</v>
      </c>
      <c r="AM15" s="18">
        <f t="shared" si="2"/>
        <v>59.334999999999994</v>
      </c>
      <c r="AN15" s="18">
        <f t="shared" si="3"/>
        <v>59.324999999999996</v>
      </c>
      <c r="AP15" s="5"/>
      <c r="AQ15" s="5"/>
      <c r="AR15" s="5"/>
      <c r="AS15" s="5"/>
    </row>
    <row r="16" spans="1:45" s="81" customFormat="1" ht="23.25">
      <c r="A16" s="82" t="s">
        <v>41</v>
      </c>
      <c r="B16" s="82">
        <v>423</v>
      </c>
      <c r="C16" s="25">
        <v>3322</v>
      </c>
      <c r="D16" s="82">
        <v>101</v>
      </c>
      <c r="E16" s="82" t="s">
        <v>52</v>
      </c>
      <c r="F16" s="36">
        <v>15000</v>
      </c>
      <c r="G16" s="36">
        <v>0</v>
      </c>
      <c r="H16" s="44">
        <v>15</v>
      </c>
      <c r="I16" s="34">
        <v>2</v>
      </c>
      <c r="J16" s="82" t="s">
        <v>95</v>
      </c>
      <c r="K16" s="83">
        <v>42235</v>
      </c>
      <c r="L16" s="13" t="s">
        <v>114</v>
      </c>
      <c r="M16" s="147">
        <v>10.85</v>
      </c>
      <c r="N16" s="147">
        <v>3.25</v>
      </c>
      <c r="O16" s="147">
        <v>0.47499999999999998</v>
      </c>
      <c r="P16" s="147">
        <v>0.42499999999999999</v>
      </c>
      <c r="Q16" s="147">
        <v>2.29677</v>
      </c>
      <c r="R16" s="147">
        <v>14.725</v>
      </c>
      <c r="S16" s="147">
        <v>0.22500000000000001</v>
      </c>
      <c r="T16" s="147">
        <v>2.5000000000000001E-2</v>
      </c>
      <c r="U16" s="147">
        <v>2.5000000000000001E-2</v>
      </c>
      <c r="V16" s="147">
        <v>3.6086499999999999</v>
      </c>
      <c r="W16" s="147">
        <v>0</v>
      </c>
      <c r="X16" s="104">
        <v>0</v>
      </c>
      <c r="Y16" s="44">
        <v>15</v>
      </c>
      <c r="Z16" s="99">
        <v>1.19702</v>
      </c>
      <c r="AA16" s="100">
        <v>4.0599999999999996</v>
      </c>
      <c r="AB16" s="99">
        <v>6.81</v>
      </c>
      <c r="AC16" s="99">
        <v>1.422E-2</v>
      </c>
      <c r="AD16" s="99">
        <v>0</v>
      </c>
      <c r="AE16" s="99">
        <v>0</v>
      </c>
      <c r="AF16" s="99">
        <v>0</v>
      </c>
      <c r="AG16" s="99">
        <f t="shared" si="0"/>
        <v>0</v>
      </c>
      <c r="AH16" s="99">
        <v>0</v>
      </c>
      <c r="AI16" s="99">
        <v>0</v>
      </c>
      <c r="AJ16" s="3"/>
      <c r="AK16" s="2">
        <f t="shared" si="4"/>
        <v>3.4049999999999998</v>
      </c>
      <c r="AL16" s="2">
        <f t="shared" si="1"/>
        <v>111.97499999999999</v>
      </c>
      <c r="AM16" s="3">
        <f t="shared" si="2"/>
        <v>15</v>
      </c>
      <c r="AN16" s="3">
        <f t="shared" si="3"/>
        <v>15</v>
      </c>
      <c r="AP16" s="5"/>
      <c r="AQ16" s="5"/>
      <c r="AR16" s="5"/>
      <c r="AS16" s="5"/>
    </row>
    <row r="17" spans="1:45" s="81" customFormat="1" ht="23.25">
      <c r="A17" s="82" t="s">
        <v>41</v>
      </c>
      <c r="B17" s="82">
        <v>423</v>
      </c>
      <c r="C17" s="25">
        <v>3274</v>
      </c>
      <c r="D17" s="82">
        <v>100</v>
      </c>
      <c r="E17" s="82" t="s">
        <v>126</v>
      </c>
      <c r="F17" s="36" t="s">
        <v>99</v>
      </c>
      <c r="G17" s="36" t="s">
        <v>125</v>
      </c>
      <c r="H17" s="44">
        <v>15.792</v>
      </c>
      <c r="I17" s="34">
        <v>2</v>
      </c>
      <c r="J17" s="82" t="s">
        <v>95</v>
      </c>
      <c r="K17" s="83">
        <v>42234</v>
      </c>
      <c r="L17" s="13" t="s">
        <v>114</v>
      </c>
      <c r="M17" s="147">
        <v>6.6749999999999998</v>
      </c>
      <c r="N17" s="147">
        <v>4.2</v>
      </c>
      <c r="O17" s="147">
        <v>2.7250000000000001</v>
      </c>
      <c r="P17" s="147">
        <v>2.1749999999999998</v>
      </c>
      <c r="Q17" s="147">
        <v>3.839</v>
      </c>
      <c r="R17" s="147">
        <v>14.05</v>
      </c>
      <c r="S17" s="147">
        <v>1.425</v>
      </c>
      <c r="T17" s="147">
        <v>0.22500000000000001</v>
      </c>
      <c r="U17" s="147">
        <v>7.4999999999999997E-2</v>
      </c>
      <c r="V17" s="147">
        <v>5.9649999999999999</v>
      </c>
      <c r="W17" s="147">
        <v>0</v>
      </c>
      <c r="X17" s="104">
        <v>0</v>
      </c>
      <c r="Y17" s="44">
        <v>15.792</v>
      </c>
      <c r="Z17" s="99">
        <v>1.5129999999999999</v>
      </c>
      <c r="AA17" s="100">
        <v>482.46</v>
      </c>
      <c r="AB17" s="99">
        <v>111.73</v>
      </c>
      <c r="AC17" s="99">
        <f t="shared" ref="AC17:AC27" si="5">(AA17+AB17*0.5)/(3.5*H17*1000)*100</f>
        <v>0.97395607179041821</v>
      </c>
      <c r="AD17" s="99">
        <v>218.94</v>
      </c>
      <c r="AE17" s="99">
        <f t="shared" ref="AE17:AE27" si="6">AD17/(3.5*H17*1000)*100</f>
        <v>0.39611376465479808</v>
      </c>
      <c r="AF17" s="99">
        <v>4918.53</v>
      </c>
      <c r="AG17" s="99">
        <f t="shared" si="0"/>
        <v>8.8987733391228829</v>
      </c>
      <c r="AH17" s="99">
        <v>191.86</v>
      </c>
      <c r="AI17" s="99">
        <f>AH17/(3.5*H17*1000)*100</f>
        <v>0.34711969894340716</v>
      </c>
      <c r="AJ17" s="3"/>
      <c r="AK17" s="2">
        <f t="shared" si="4"/>
        <v>55.865000000000002</v>
      </c>
      <c r="AL17" s="2">
        <f t="shared" si="1"/>
        <v>92662.007759999979</v>
      </c>
      <c r="AM17" s="3">
        <f t="shared" si="2"/>
        <v>15.774999999999999</v>
      </c>
      <c r="AN17" s="3">
        <f t="shared" si="3"/>
        <v>15.775</v>
      </c>
      <c r="AP17" s="5"/>
      <c r="AQ17" s="5"/>
      <c r="AR17" s="5"/>
      <c r="AS17" s="5"/>
    </row>
    <row r="18" spans="1:45" s="81" customFormat="1" ht="23.25">
      <c r="A18" s="82" t="s">
        <v>41</v>
      </c>
      <c r="B18" s="82">
        <v>423</v>
      </c>
      <c r="C18" s="25">
        <v>3322</v>
      </c>
      <c r="D18" s="82">
        <v>102</v>
      </c>
      <c r="E18" s="82" t="s">
        <v>53</v>
      </c>
      <c r="F18" s="36">
        <v>29475</v>
      </c>
      <c r="G18" s="36">
        <v>15000</v>
      </c>
      <c r="H18" s="44">
        <v>14.475</v>
      </c>
      <c r="I18" s="34">
        <v>2</v>
      </c>
      <c r="J18" s="82" t="s">
        <v>95</v>
      </c>
      <c r="K18" s="83">
        <v>42235</v>
      </c>
      <c r="L18" s="13" t="s">
        <v>114</v>
      </c>
      <c r="M18" s="147">
        <v>7.9139999999999997</v>
      </c>
      <c r="N18" s="147">
        <v>4.2569999999999997</v>
      </c>
      <c r="O18" s="147">
        <v>1.853</v>
      </c>
      <c r="P18" s="147">
        <v>0.45100000000000001</v>
      </c>
      <c r="Q18" s="147">
        <v>2.84918</v>
      </c>
      <c r="R18" s="147">
        <v>13.9</v>
      </c>
      <c r="S18" s="147">
        <v>0.47499999999999998</v>
      </c>
      <c r="T18" s="147">
        <v>0.05</v>
      </c>
      <c r="U18" s="147">
        <v>2.5000000000000001E-2</v>
      </c>
      <c r="V18" s="147">
        <v>4.7341800000000003</v>
      </c>
      <c r="W18" s="147">
        <v>0</v>
      </c>
      <c r="X18" s="104">
        <v>0</v>
      </c>
      <c r="Y18" s="44">
        <v>14.475</v>
      </c>
      <c r="Z18" s="99">
        <v>1.1068100000000001</v>
      </c>
      <c r="AA18" s="100">
        <v>14.65</v>
      </c>
      <c r="AB18" s="99">
        <v>12.62</v>
      </c>
      <c r="AC18" s="99">
        <f t="shared" si="5"/>
        <v>4.1371823340735261E-2</v>
      </c>
      <c r="AD18" s="99">
        <v>19.34</v>
      </c>
      <c r="AE18" s="99">
        <f t="shared" si="6"/>
        <v>3.8174191956575371E-2</v>
      </c>
      <c r="AF18" s="99">
        <v>0</v>
      </c>
      <c r="AG18" s="99">
        <f t="shared" si="0"/>
        <v>0</v>
      </c>
      <c r="AH18" s="99">
        <v>0.42</v>
      </c>
      <c r="AI18" s="99">
        <f>AH18/(3.5*H18*1000)*100</f>
        <v>8.2901554404145078E-4</v>
      </c>
      <c r="AJ18" s="3"/>
      <c r="AK18" s="2">
        <f t="shared" si="4"/>
        <v>6.31</v>
      </c>
      <c r="AL18" s="2">
        <f t="shared" si="1"/>
        <v>589.42200000000003</v>
      </c>
      <c r="AM18" s="3">
        <f t="shared" si="2"/>
        <v>14.475</v>
      </c>
      <c r="AN18" s="3">
        <f t="shared" si="3"/>
        <v>14.450000000000001</v>
      </c>
      <c r="AP18" s="5"/>
      <c r="AQ18" s="5"/>
      <c r="AR18" s="5"/>
      <c r="AS18" s="5"/>
    </row>
    <row r="19" spans="1:45" s="81" customFormat="1" ht="23.25">
      <c r="A19" s="82" t="s">
        <v>41</v>
      </c>
      <c r="B19" s="82">
        <v>423</v>
      </c>
      <c r="C19" s="25">
        <v>3348</v>
      </c>
      <c r="D19" s="82">
        <v>100</v>
      </c>
      <c r="E19" s="82" t="s">
        <v>54</v>
      </c>
      <c r="F19" s="36">
        <v>12346</v>
      </c>
      <c r="G19" s="36">
        <v>0</v>
      </c>
      <c r="H19" s="44">
        <v>12.346</v>
      </c>
      <c r="I19" s="34">
        <v>2</v>
      </c>
      <c r="J19" s="82" t="s">
        <v>95</v>
      </c>
      <c r="K19" s="83">
        <v>42234</v>
      </c>
      <c r="L19" s="13" t="s">
        <v>114</v>
      </c>
      <c r="M19" s="147">
        <v>7.75</v>
      </c>
      <c r="N19" s="147">
        <v>3.375</v>
      </c>
      <c r="O19" s="147">
        <v>0.92500000000000004</v>
      </c>
      <c r="P19" s="147">
        <v>0.3</v>
      </c>
      <c r="Q19" s="147">
        <v>2.75041</v>
      </c>
      <c r="R19" s="147">
        <v>11.775</v>
      </c>
      <c r="S19" s="147">
        <v>0.47499999999999998</v>
      </c>
      <c r="T19" s="147">
        <v>0.1</v>
      </c>
      <c r="U19" s="147">
        <v>0</v>
      </c>
      <c r="V19" s="147">
        <v>6.0674099999999997</v>
      </c>
      <c r="W19" s="147">
        <v>0</v>
      </c>
      <c r="X19" s="104">
        <v>0</v>
      </c>
      <c r="Y19" s="44">
        <v>12.346</v>
      </c>
      <c r="Z19" s="99">
        <v>0.96083300000000005</v>
      </c>
      <c r="AA19" s="100">
        <v>0</v>
      </c>
      <c r="AB19" s="99">
        <v>111.42</v>
      </c>
      <c r="AC19" s="99">
        <f t="shared" si="5"/>
        <v>0.12892550507972508</v>
      </c>
      <c r="AD19" s="99">
        <v>96.6</v>
      </c>
      <c r="AE19" s="99">
        <f t="shared" si="6"/>
        <v>0.22355418759112261</v>
      </c>
      <c r="AF19" s="99">
        <v>1908</v>
      </c>
      <c r="AG19" s="99">
        <f t="shared" si="0"/>
        <v>4.4155423387563353</v>
      </c>
      <c r="AH19" s="99">
        <v>141.61000000000001</v>
      </c>
      <c r="AI19" s="99">
        <f>AH19/(3.5*H19*1000)*100</f>
        <v>0.32771747934553702</v>
      </c>
      <c r="AJ19" s="3"/>
      <c r="AK19" s="2">
        <f t="shared" si="4"/>
        <v>55.71</v>
      </c>
      <c r="AL19" s="2">
        <f t="shared" si="1"/>
        <v>27184.904320000001</v>
      </c>
      <c r="AM19" s="3">
        <f t="shared" si="2"/>
        <v>12.350000000000001</v>
      </c>
      <c r="AN19" s="3">
        <f t="shared" si="3"/>
        <v>12.35</v>
      </c>
      <c r="AO19" s="4"/>
      <c r="AP19" s="5"/>
      <c r="AQ19" s="5"/>
      <c r="AR19" s="5"/>
      <c r="AS19" s="5"/>
    </row>
    <row r="20" spans="1:45" s="81" customFormat="1" ht="23.25">
      <c r="A20" s="82" t="s">
        <v>41</v>
      </c>
      <c r="B20" s="82">
        <v>423</v>
      </c>
      <c r="C20" s="25">
        <v>3395</v>
      </c>
      <c r="D20" s="82">
        <v>100</v>
      </c>
      <c r="E20" s="82" t="s">
        <v>127</v>
      </c>
      <c r="F20" s="36">
        <v>0</v>
      </c>
      <c r="G20" s="36" t="s">
        <v>128</v>
      </c>
      <c r="H20" s="44">
        <v>8.9079999999999995</v>
      </c>
      <c r="I20" s="34">
        <v>2</v>
      </c>
      <c r="J20" s="82" t="s">
        <v>227</v>
      </c>
      <c r="K20" s="83">
        <v>42234</v>
      </c>
      <c r="L20" s="13" t="s">
        <v>114</v>
      </c>
      <c r="M20" s="147">
        <v>5.45</v>
      </c>
      <c r="N20" s="147">
        <v>2.5</v>
      </c>
      <c r="O20" s="147">
        <v>0.67500000000000004</v>
      </c>
      <c r="P20" s="147">
        <v>0.27500000000000002</v>
      </c>
      <c r="Q20" s="147">
        <v>2.4129999999999998</v>
      </c>
      <c r="R20" s="147">
        <v>7.625</v>
      </c>
      <c r="S20" s="147">
        <v>0.82499999999999996</v>
      </c>
      <c r="T20" s="147">
        <v>0.375</v>
      </c>
      <c r="U20" s="147">
        <v>7.4999999999999997E-2</v>
      </c>
      <c r="V20" s="147">
        <v>6.3470000000000004</v>
      </c>
      <c r="W20" s="147">
        <v>0</v>
      </c>
      <c r="X20" s="104">
        <v>0</v>
      </c>
      <c r="Y20" s="44">
        <v>8.9079999999999995</v>
      </c>
      <c r="Z20" s="99">
        <v>1.1539999999999999</v>
      </c>
      <c r="AA20" s="100">
        <v>238.25</v>
      </c>
      <c r="AB20" s="99">
        <v>33.9</v>
      </c>
      <c r="AC20" s="99">
        <f t="shared" si="5"/>
        <v>0.81852588363589729</v>
      </c>
      <c r="AD20" s="99">
        <v>133.31</v>
      </c>
      <c r="AE20" s="99">
        <f t="shared" si="6"/>
        <v>0.42757713772531913</v>
      </c>
      <c r="AF20" s="99">
        <v>378.97</v>
      </c>
      <c r="AG20" s="99">
        <f t="shared" si="0"/>
        <v>1.2155045224196552</v>
      </c>
      <c r="AH20" s="99">
        <v>7.13</v>
      </c>
      <c r="AI20" s="99">
        <f>AH20/(3.5*H20*1000)*100</f>
        <v>2.2868689460517032E-2</v>
      </c>
      <c r="AJ20" s="3"/>
      <c r="AK20" s="2">
        <f t="shared" si="4"/>
        <v>16.95</v>
      </c>
      <c r="AL20" s="2">
        <f t="shared" si="1"/>
        <v>6900.22588</v>
      </c>
      <c r="AM20" s="3">
        <f t="shared" si="2"/>
        <v>8.9</v>
      </c>
      <c r="AN20" s="3">
        <f t="shared" si="3"/>
        <v>8.8999999999999986</v>
      </c>
      <c r="AO20" s="4"/>
      <c r="AP20" s="5"/>
      <c r="AQ20" s="5"/>
      <c r="AR20" s="5"/>
      <c r="AS20" s="5"/>
    </row>
    <row r="21" spans="1:45" s="81" customFormat="1" ht="23.25">
      <c r="A21" s="82" t="s">
        <v>41</v>
      </c>
      <c r="B21" s="82">
        <v>423</v>
      </c>
      <c r="C21" s="25">
        <v>3405</v>
      </c>
      <c r="D21" s="82">
        <v>100</v>
      </c>
      <c r="E21" s="82" t="s">
        <v>55</v>
      </c>
      <c r="F21" s="36">
        <v>28174</v>
      </c>
      <c r="G21" s="36">
        <v>0</v>
      </c>
      <c r="H21" s="44">
        <v>28.173999999999999</v>
      </c>
      <c r="I21" s="34">
        <v>2</v>
      </c>
      <c r="J21" s="82" t="s">
        <v>95</v>
      </c>
      <c r="K21" s="83">
        <v>42234</v>
      </c>
      <c r="L21" s="13" t="s">
        <v>114</v>
      </c>
      <c r="M21" s="147">
        <v>6.9989999999999997</v>
      </c>
      <c r="N21" s="147">
        <v>7.8360000000000003</v>
      </c>
      <c r="O21" s="147">
        <v>5.2240000000000002</v>
      </c>
      <c r="P21" s="147">
        <v>8.1150000000000002</v>
      </c>
      <c r="Q21" s="147">
        <v>4.9002999999999997</v>
      </c>
      <c r="R21" s="147">
        <v>23.925000000000001</v>
      </c>
      <c r="S21" s="147">
        <v>1.875</v>
      </c>
      <c r="T21" s="147">
        <v>1</v>
      </c>
      <c r="U21" s="147">
        <v>0.97499999999999998</v>
      </c>
      <c r="V21" s="147">
        <v>6.2749600000000001</v>
      </c>
      <c r="W21" s="147">
        <v>0</v>
      </c>
      <c r="X21" s="104">
        <v>0</v>
      </c>
      <c r="Y21" s="44">
        <v>28.173999999999999</v>
      </c>
      <c r="Z21" s="99">
        <v>1.27278</v>
      </c>
      <c r="AA21" s="100">
        <v>3447.35</v>
      </c>
      <c r="AB21" s="99">
        <v>1319.87</v>
      </c>
      <c r="AC21" s="99">
        <f t="shared" si="5"/>
        <v>4.1652232554837791</v>
      </c>
      <c r="AD21" s="99">
        <v>3595.9</v>
      </c>
      <c r="AE21" s="99">
        <f t="shared" si="6"/>
        <v>3.6466245474551005</v>
      </c>
      <c r="AF21" s="99">
        <v>6451</v>
      </c>
      <c r="AG21" s="99">
        <f t="shared" si="0"/>
        <v>6.5419992089971499</v>
      </c>
      <c r="AH21" s="99">
        <v>1985.25</v>
      </c>
      <c r="AI21" s="99">
        <v>2.0132500000000002</v>
      </c>
      <c r="AJ21" s="3"/>
      <c r="AK21" s="2">
        <f t="shared" si="4"/>
        <v>659.93499999999995</v>
      </c>
      <c r="AL21" s="2">
        <f t="shared" si="1"/>
        <v>454712.44168999995</v>
      </c>
      <c r="AM21" s="3">
        <f t="shared" si="2"/>
        <v>28.173999999999999</v>
      </c>
      <c r="AN21" s="3">
        <f t="shared" si="3"/>
        <v>27.775000000000002</v>
      </c>
      <c r="AO21" s="4"/>
      <c r="AP21" s="5"/>
      <c r="AQ21" s="5"/>
      <c r="AR21" s="5"/>
      <c r="AS21" s="5"/>
    </row>
    <row r="22" spans="1:45" s="81" customFormat="1" ht="23.25">
      <c r="A22" s="82" t="s">
        <v>41</v>
      </c>
      <c r="B22" s="82">
        <v>423</v>
      </c>
      <c r="C22" s="25">
        <v>3409</v>
      </c>
      <c r="D22" s="82">
        <v>100</v>
      </c>
      <c r="E22" s="82" t="s">
        <v>56</v>
      </c>
      <c r="F22" s="36">
        <v>0</v>
      </c>
      <c r="G22" s="36">
        <v>16175</v>
      </c>
      <c r="H22" s="44">
        <v>16.175000000000001</v>
      </c>
      <c r="I22" s="34">
        <v>2</v>
      </c>
      <c r="J22" s="82" t="s">
        <v>227</v>
      </c>
      <c r="K22" s="83">
        <v>42235</v>
      </c>
      <c r="L22" s="13" t="s">
        <v>114</v>
      </c>
      <c r="M22" s="147">
        <v>6.35</v>
      </c>
      <c r="N22" s="147">
        <v>2.65</v>
      </c>
      <c r="O22" s="147">
        <v>3.7749999999999999</v>
      </c>
      <c r="P22" s="147">
        <v>3.375</v>
      </c>
      <c r="Q22" s="147">
        <v>3.2606000000000002</v>
      </c>
      <c r="R22" s="147">
        <v>12.725</v>
      </c>
      <c r="S22" s="147">
        <v>2.5750000000000002</v>
      </c>
      <c r="T22" s="147">
        <v>0.65</v>
      </c>
      <c r="U22" s="147">
        <v>0.2</v>
      </c>
      <c r="V22" s="147">
        <v>6.9146299999999998</v>
      </c>
      <c r="W22" s="147">
        <v>0</v>
      </c>
      <c r="X22" s="104">
        <v>0</v>
      </c>
      <c r="Y22" s="44">
        <v>16.175000000000001</v>
      </c>
      <c r="Z22" s="99">
        <v>1.1956899999999999</v>
      </c>
      <c r="AA22" s="100">
        <v>2.2000000000000002</v>
      </c>
      <c r="AB22" s="99">
        <v>3.02</v>
      </c>
      <c r="AC22" s="99">
        <f t="shared" si="5"/>
        <v>6.553323029366306E-3</v>
      </c>
      <c r="AD22" s="99">
        <v>6.79</v>
      </c>
      <c r="AE22" s="99">
        <f t="shared" si="6"/>
        <v>1.1993817619783615E-2</v>
      </c>
      <c r="AF22" s="99">
        <v>0</v>
      </c>
      <c r="AG22" s="99">
        <f t="shared" si="0"/>
        <v>0</v>
      </c>
      <c r="AH22" s="99">
        <v>25.85</v>
      </c>
      <c r="AI22" s="99">
        <v>4.5659999999999999E-2</v>
      </c>
      <c r="AJ22" s="3"/>
      <c r="AK22" s="2">
        <f t="shared" si="4"/>
        <v>1.51</v>
      </c>
      <c r="AL22" s="2">
        <f t="shared" si="1"/>
        <v>587.96125000000006</v>
      </c>
      <c r="AM22" s="3">
        <f t="shared" si="2"/>
        <v>16.149999999999999</v>
      </c>
      <c r="AN22" s="3">
        <f t="shared" si="3"/>
        <v>16.150000000000002</v>
      </c>
      <c r="AO22" s="4"/>
      <c r="AP22" s="5"/>
      <c r="AQ22" s="5"/>
      <c r="AR22" s="5"/>
      <c r="AS22" s="5"/>
    </row>
    <row r="23" spans="1:45" s="81" customFormat="1" ht="23.25">
      <c r="A23" s="82" t="s">
        <v>41</v>
      </c>
      <c r="B23" s="82">
        <v>423</v>
      </c>
      <c r="C23" s="25">
        <v>3448</v>
      </c>
      <c r="D23" s="82">
        <v>100</v>
      </c>
      <c r="E23" s="82" t="s">
        <v>57</v>
      </c>
      <c r="F23" s="36">
        <v>10908</v>
      </c>
      <c r="G23" s="36">
        <v>0</v>
      </c>
      <c r="H23" s="44">
        <v>10.907999999999999</v>
      </c>
      <c r="I23" s="34">
        <v>2</v>
      </c>
      <c r="J23" s="82" t="s">
        <v>95</v>
      </c>
      <c r="K23" s="83">
        <v>42234</v>
      </c>
      <c r="L23" s="13" t="s">
        <v>114</v>
      </c>
      <c r="M23" s="147">
        <v>7.1</v>
      </c>
      <c r="N23" s="147">
        <v>2.75</v>
      </c>
      <c r="O23" s="147">
        <v>0.77500000000000002</v>
      </c>
      <c r="P23" s="147">
        <v>0.4</v>
      </c>
      <c r="Q23" s="147">
        <v>2.3109799999999998</v>
      </c>
      <c r="R23" s="147">
        <v>10.375</v>
      </c>
      <c r="S23" s="147">
        <v>0.45</v>
      </c>
      <c r="T23" s="147">
        <v>0.05</v>
      </c>
      <c r="U23" s="147">
        <v>0.15</v>
      </c>
      <c r="V23" s="147">
        <v>2.7364799999999998</v>
      </c>
      <c r="W23" s="147">
        <v>0</v>
      </c>
      <c r="X23" s="104">
        <v>0</v>
      </c>
      <c r="Y23" s="44">
        <v>10.907999999999999</v>
      </c>
      <c r="Z23" s="99">
        <v>1.24837</v>
      </c>
      <c r="AA23" s="100">
        <v>4.41</v>
      </c>
      <c r="AB23" s="99">
        <v>1356.12</v>
      </c>
      <c r="AC23" s="99">
        <f t="shared" si="5"/>
        <v>1.7876001885902875</v>
      </c>
      <c r="AD23" s="99">
        <v>0</v>
      </c>
      <c r="AE23" s="99">
        <f t="shared" si="6"/>
        <v>0</v>
      </c>
      <c r="AF23" s="99">
        <v>914</v>
      </c>
      <c r="AG23" s="99">
        <f t="shared" si="0"/>
        <v>2.3940489287023943</v>
      </c>
      <c r="AH23" s="99">
        <v>18.38</v>
      </c>
      <c r="AI23" s="99">
        <v>4.8140000000000002E-2</v>
      </c>
      <c r="AJ23" s="3"/>
      <c r="AK23" s="2">
        <f t="shared" si="4"/>
        <v>678.06</v>
      </c>
      <c r="AL23" s="2">
        <f t="shared" si="1"/>
        <v>17614.783799999997</v>
      </c>
      <c r="AM23" s="3">
        <f t="shared" si="2"/>
        <v>11.025</v>
      </c>
      <c r="AN23" s="3">
        <f t="shared" si="3"/>
        <v>11.025</v>
      </c>
      <c r="AO23" s="4"/>
      <c r="AP23" s="5"/>
      <c r="AQ23" s="5"/>
      <c r="AR23" s="5"/>
      <c r="AS23" s="5"/>
    </row>
    <row r="24" spans="1:45" s="81" customFormat="1" ht="23.25">
      <c r="A24" s="82" t="s">
        <v>41</v>
      </c>
      <c r="B24" s="82">
        <v>423</v>
      </c>
      <c r="C24" s="25">
        <v>3493</v>
      </c>
      <c r="D24" s="82">
        <v>100</v>
      </c>
      <c r="E24" s="82" t="s">
        <v>58</v>
      </c>
      <c r="F24" s="36">
        <v>0</v>
      </c>
      <c r="G24" s="36">
        <v>8430</v>
      </c>
      <c r="H24" s="44">
        <v>8.43</v>
      </c>
      <c r="I24" s="34">
        <v>4</v>
      </c>
      <c r="J24" s="82" t="s">
        <v>226</v>
      </c>
      <c r="K24" s="83">
        <v>42235</v>
      </c>
      <c r="L24" s="13" t="s">
        <v>114</v>
      </c>
      <c r="M24" s="147">
        <v>5.7</v>
      </c>
      <c r="N24" s="147">
        <v>1.5249999999999999</v>
      </c>
      <c r="O24" s="147">
        <v>0.92500000000000004</v>
      </c>
      <c r="P24" s="147">
        <v>0.3</v>
      </c>
      <c r="Q24" s="147">
        <v>2.2821600000000002</v>
      </c>
      <c r="R24" s="147">
        <v>5.0999999999999996</v>
      </c>
      <c r="S24" s="147">
        <v>2.8250000000000002</v>
      </c>
      <c r="T24" s="147">
        <v>0.4</v>
      </c>
      <c r="U24" s="147">
        <v>0.125</v>
      </c>
      <c r="V24" s="147">
        <v>9.5870599999999992</v>
      </c>
      <c r="W24" s="147">
        <v>0</v>
      </c>
      <c r="X24" s="104">
        <v>0</v>
      </c>
      <c r="Y24" s="44">
        <v>8.43</v>
      </c>
      <c r="Z24" s="99">
        <v>1.23203</v>
      </c>
      <c r="AA24" s="100">
        <v>8.2349999999999994</v>
      </c>
      <c r="AB24" s="99">
        <v>5.6710000000000003</v>
      </c>
      <c r="AC24" s="99">
        <f t="shared" si="5"/>
        <v>3.7520759193357053E-2</v>
      </c>
      <c r="AD24" s="99">
        <v>0</v>
      </c>
      <c r="AE24" s="99">
        <f t="shared" si="6"/>
        <v>0</v>
      </c>
      <c r="AF24" s="99">
        <v>0</v>
      </c>
      <c r="AG24" s="99">
        <f t="shared" si="0"/>
        <v>0</v>
      </c>
      <c r="AH24" s="99">
        <v>0</v>
      </c>
      <c r="AI24" s="99">
        <v>0</v>
      </c>
      <c r="AJ24" s="3"/>
      <c r="AK24" s="2">
        <f t="shared" si="4"/>
        <v>2.8355000000000001</v>
      </c>
      <c r="AL24" s="2">
        <f t="shared" si="1"/>
        <v>93.324314999999984</v>
      </c>
      <c r="AM24" s="3">
        <f t="shared" si="2"/>
        <v>8.4500000000000011</v>
      </c>
      <c r="AN24" s="3">
        <f t="shared" si="3"/>
        <v>8.4499999999999993</v>
      </c>
      <c r="AO24" s="4"/>
      <c r="AP24" s="5"/>
      <c r="AQ24" s="5"/>
      <c r="AR24" s="5"/>
      <c r="AS24" s="5"/>
    </row>
    <row r="25" spans="1:45" s="81" customFormat="1" ht="23.25">
      <c r="A25" s="82" t="s">
        <v>41</v>
      </c>
      <c r="B25" s="82">
        <v>423</v>
      </c>
      <c r="C25" s="25">
        <v>3493</v>
      </c>
      <c r="D25" s="82">
        <v>100</v>
      </c>
      <c r="E25" s="82" t="s">
        <v>58</v>
      </c>
      <c r="F25" s="36">
        <v>8430</v>
      </c>
      <c r="G25" s="36">
        <v>0</v>
      </c>
      <c r="H25" s="44">
        <v>8.43</v>
      </c>
      <c r="I25" s="34">
        <v>4</v>
      </c>
      <c r="J25" s="82" t="s">
        <v>94</v>
      </c>
      <c r="K25" s="83">
        <v>42235</v>
      </c>
      <c r="L25" s="13" t="s">
        <v>114</v>
      </c>
      <c r="M25" s="147">
        <v>5.7</v>
      </c>
      <c r="N25" s="147">
        <v>1.5249999999999999</v>
      </c>
      <c r="O25" s="147">
        <v>0.92500000000000004</v>
      </c>
      <c r="P25" s="147">
        <v>0.3</v>
      </c>
      <c r="Q25" s="147">
        <v>2.282</v>
      </c>
      <c r="R25" s="147">
        <v>5.0999999999999996</v>
      </c>
      <c r="S25" s="147">
        <v>2.8250000000000002</v>
      </c>
      <c r="T25" s="147">
        <v>0.4</v>
      </c>
      <c r="U25" s="147">
        <v>0.125</v>
      </c>
      <c r="V25" s="147">
        <v>9.5869999999999997</v>
      </c>
      <c r="W25" s="147">
        <v>0</v>
      </c>
      <c r="X25" s="104">
        <v>0</v>
      </c>
      <c r="Y25" s="44">
        <v>8.43</v>
      </c>
      <c r="Z25" s="99">
        <v>1.232</v>
      </c>
      <c r="AA25" s="100">
        <v>0</v>
      </c>
      <c r="AB25" s="99">
        <v>15.34</v>
      </c>
      <c r="AC25" s="99">
        <f t="shared" si="5"/>
        <v>2.5995593967124215E-2</v>
      </c>
      <c r="AD25" s="99">
        <v>0</v>
      </c>
      <c r="AE25" s="99">
        <f t="shared" si="6"/>
        <v>0</v>
      </c>
      <c r="AF25" s="99">
        <v>0</v>
      </c>
      <c r="AG25" s="99">
        <f t="shared" si="0"/>
        <v>0</v>
      </c>
      <c r="AH25" s="99">
        <v>0</v>
      </c>
      <c r="AI25" s="99">
        <v>0</v>
      </c>
      <c r="AJ25" s="3"/>
      <c r="AK25" s="2">
        <f t="shared" si="4"/>
        <v>7.67</v>
      </c>
      <c r="AL25" s="2">
        <f t="shared" si="1"/>
        <v>64.65809999999999</v>
      </c>
      <c r="AM25" s="3">
        <f t="shared" si="2"/>
        <v>8.4500000000000011</v>
      </c>
      <c r="AN25" s="3">
        <f t="shared" si="3"/>
        <v>8.4499999999999993</v>
      </c>
      <c r="AO25" s="4"/>
      <c r="AP25" s="5"/>
      <c r="AQ25" s="5"/>
      <c r="AR25" s="5"/>
      <c r="AS25" s="5"/>
    </row>
    <row r="26" spans="1:45" s="81" customFormat="1" ht="23.25">
      <c r="A26" s="82" t="s">
        <v>41</v>
      </c>
      <c r="B26" s="82">
        <v>423</v>
      </c>
      <c r="C26" s="25">
        <v>3546</v>
      </c>
      <c r="D26" s="82">
        <v>100</v>
      </c>
      <c r="E26" s="82" t="s">
        <v>59</v>
      </c>
      <c r="F26" s="36">
        <v>0</v>
      </c>
      <c r="G26" s="36">
        <v>3397</v>
      </c>
      <c r="H26" s="44">
        <v>3.3969999999999998</v>
      </c>
      <c r="I26" s="34">
        <v>2</v>
      </c>
      <c r="J26" s="82" t="s">
        <v>227</v>
      </c>
      <c r="K26" s="83">
        <v>42235</v>
      </c>
      <c r="L26" s="13" t="s">
        <v>114</v>
      </c>
      <c r="M26" s="147">
        <v>2.548</v>
      </c>
      <c r="N26" s="147">
        <v>0.63700000000000001</v>
      </c>
      <c r="O26" s="147">
        <v>0.21199999999999999</v>
      </c>
      <c r="P26" s="147">
        <v>0</v>
      </c>
      <c r="Q26" s="147">
        <v>2.4420000000000002</v>
      </c>
      <c r="R26" s="147">
        <v>2.548</v>
      </c>
      <c r="S26" s="147">
        <v>0.63700000000000001</v>
      </c>
      <c r="T26" s="147">
        <v>0.21199999999999999</v>
      </c>
      <c r="U26" s="147">
        <v>0</v>
      </c>
      <c r="V26" s="147">
        <v>7.6589999999999998</v>
      </c>
      <c r="W26" s="147">
        <v>0</v>
      </c>
      <c r="X26" s="104">
        <v>0</v>
      </c>
      <c r="Y26" s="44">
        <v>3.3969999999999998</v>
      </c>
      <c r="Z26" s="99">
        <v>1.216</v>
      </c>
      <c r="AA26" s="100">
        <v>5.76</v>
      </c>
      <c r="AB26" s="99">
        <v>7.14</v>
      </c>
      <c r="AC26" s="99">
        <f t="shared" si="5"/>
        <v>7.8472601875604522E-2</v>
      </c>
      <c r="AD26" s="99">
        <v>0</v>
      </c>
      <c r="AE26" s="99">
        <f t="shared" si="6"/>
        <v>0</v>
      </c>
      <c r="AF26" s="99">
        <v>0</v>
      </c>
      <c r="AG26" s="99">
        <f t="shared" si="0"/>
        <v>0</v>
      </c>
      <c r="AH26" s="99">
        <v>0</v>
      </c>
      <c r="AI26" s="99">
        <v>0</v>
      </c>
      <c r="AJ26" s="3"/>
      <c r="AK26" s="2">
        <f t="shared" si="4"/>
        <v>3.57</v>
      </c>
      <c r="AL26" s="2">
        <f t="shared" si="1"/>
        <v>31.694009999999999</v>
      </c>
      <c r="AM26" s="3">
        <f t="shared" si="2"/>
        <v>3.3970000000000002</v>
      </c>
      <c r="AN26" s="3">
        <f t="shared" si="3"/>
        <v>3.3970000000000002</v>
      </c>
      <c r="AO26" s="4"/>
      <c r="AP26" s="5"/>
      <c r="AQ26" s="5"/>
      <c r="AR26" s="5"/>
      <c r="AS26" s="5"/>
    </row>
    <row r="27" spans="1:45" s="81" customFormat="1" ht="23.25">
      <c r="A27" s="82" t="s">
        <v>41</v>
      </c>
      <c r="B27" s="82">
        <v>423</v>
      </c>
      <c r="C27" s="25">
        <v>3587</v>
      </c>
      <c r="D27" s="82">
        <v>100</v>
      </c>
      <c r="E27" s="82" t="s">
        <v>60</v>
      </c>
      <c r="F27" s="36">
        <v>0</v>
      </c>
      <c r="G27" s="36">
        <v>3372</v>
      </c>
      <c r="H27" s="44">
        <v>3.3719999999999999</v>
      </c>
      <c r="I27" s="34">
        <v>2</v>
      </c>
      <c r="J27" s="82" t="s">
        <v>95</v>
      </c>
      <c r="K27" s="83">
        <v>42235</v>
      </c>
      <c r="L27" s="13" t="s">
        <v>114</v>
      </c>
      <c r="M27" s="147">
        <v>2.75</v>
      </c>
      <c r="N27" s="147">
        <v>0.47499999999999998</v>
      </c>
      <c r="O27" s="147">
        <v>0.2</v>
      </c>
      <c r="P27" s="147">
        <v>7.4999999999999997E-2</v>
      </c>
      <c r="Q27" s="147">
        <v>2.161</v>
      </c>
      <c r="R27" s="147">
        <v>3.4750000000000001</v>
      </c>
      <c r="S27" s="147">
        <v>2.5000000000000001E-2</v>
      </c>
      <c r="T27" s="147">
        <v>0</v>
      </c>
      <c r="U27" s="147">
        <v>0</v>
      </c>
      <c r="V27" s="147">
        <v>2.891</v>
      </c>
      <c r="W27" s="147">
        <v>0</v>
      </c>
      <c r="X27" s="104">
        <v>0</v>
      </c>
      <c r="Y27" s="44">
        <v>3.3719999999999999</v>
      </c>
      <c r="Z27" s="99">
        <v>1.385</v>
      </c>
      <c r="AA27" s="100">
        <v>3.4569999999999999</v>
      </c>
      <c r="AB27" s="99">
        <v>1.0900000000000001</v>
      </c>
      <c r="AC27" s="99">
        <f t="shared" si="5"/>
        <v>3.3909506863243517E-2</v>
      </c>
      <c r="AD27" s="99">
        <v>0</v>
      </c>
      <c r="AE27" s="99">
        <f t="shared" si="6"/>
        <v>0</v>
      </c>
      <c r="AF27" s="99">
        <v>0</v>
      </c>
      <c r="AG27" s="99">
        <f t="shared" si="0"/>
        <v>0</v>
      </c>
      <c r="AH27" s="99">
        <v>0</v>
      </c>
      <c r="AI27" s="99">
        <v>0</v>
      </c>
      <c r="AJ27" s="3"/>
      <c r="AK27" s="2">
        <f t="shared" si="4"/>
        <v>0.54500000000000004</v>
      </c>
      <c r="AL27" s="2">
        <f t="shared" si="1"/>
        <v>13.494743999999999</v>
      </c>
      <c r="AM27" s="3">
        <f t="shared" si="2"/>
        <v>3.5000000000000004</v>
      </c>
      <c r="AN27" s="3">
        <f t="shared" si="3"/>
        <v>3.5</v>
      </c>
      <c r="AO27" s="4"/>
      <c r="AP27" s="5"/>
      <c r="AQ27" s="5"/>
      <c r="AR27" s="5"/>
      <c r="AS27" s="5"/>
    </row>
    <row r="28" spans="1:45" s="81" customFormat="1" ht="23.25">
      <c r="A28" s="24"/>
      <c r="B28" s="24"/>
      <c r="C28" s="24"/>
      <c r="D28" s="24"/>
      <c r="E28" s="165"/>
      <c r="F28" s="197" t="s">
        <v>111</v>
      </c>
      <c r="G28" s="197"/>
      <c r="H28" s="149">
        <v>409.995</v>
      </c>
      <c r="I28" s="150"/>
      <c r="J28" s="150"/>
      <c r="K28" s="150"/>
      <c r="L28" s="169"/>
      <c r="M28" s="151">
        <f>SUM(M4:M27)</f>
        <v>228.05999999999995</v>
      </c>
      <c r="N28" s="151">
        <f t="shared" ref="N28:P28" si="7">SUM(N4:N27)</f>
        <v>100.33900000000001</v>
      </c>
      <c r="O28" s="151">
        <f t="shared" si="7"/>
        <v>50.149000000000001</v>
      </c>
      <c r="P28" s="151">
        <f t="shared" si="7"/>
        <v>31.571999999999999</v>
      </c>
      <c r="Q28" s="151" t="s">
        <v>112</v>
      </c>
      <c r="R28" s="151">
        <f t="shared" ref="R28:U28" si="8">SUM(R4:R27)</f>
        <v>359.45800000000003</v>
      </c>
      <c r="S28" s="151">
        <f t="shared" si="8"/>
        <v>39.336000000000013</v>
      </c>
      <c r="T28" s="151">
        <f t="shared" si="8"/>
        <v>7.5009999999999994</v>
      </c>
      <c r="U28" s="151">
        <f t="shared" si="8"/>
        <v>3.1680000000000001</v>
      </c>
      <c r="V28" s="151" t="s">
        <v>112</v>
      </c>
      <c r="W28" s="151">
        <f t="shared" ref="W28:X28" si="9">SUM(W4:W27)</f>
        <v>0</v>
      </c>
      <c r="X28" s="151">
        <f t="shared" si="9"/>
        <v>0</v>
      </c>
      <c r="Y28" s="151">
        <f>SUM(Y4:Y27)</f>
        <v>409.90300000000002</v>
      </c>
      <c r="Z28" s="151" t="s">
        <v>112</v>
      </c>
      <c r="AA28" s="151">
        <f t="shared" ref="AA28:AB28" si="10">SUM(AA4:AA27)</f>
        <v>8307.6524000000009</v>
      </c>
      <c r="AB28" s="151">
        <f t="shared" si="10"/>
        <v>5118.0610000000006</v>
      </c>
      <c r="AC28" s="151" t="s">
        <v>112</v>
      </c>
      <c r="AD28" s="151">
        <f>SUM(AD4:AD27)</f>
        <v>16148.54</v>
      </c>
      <c r="AE28" s="151" t="s">
        <v>112</v>
      </c>
      <c r="AF28" s="151">
        <f>SUM(AF4:AF27)</f>
        <v>36568.83</v>
      </c>
      <c r="AG28" s="151" t="s">
        <v>112</v>
      </c>
      <c r="AH28" s="151">
        <f>SUM(AH4:AH27)</f>
        <v>4680.4800000000005</v>
      </c>
      <c r="AI28" s="151" t="s">
        <v>112</v>
      </c>
      <c r="AL28" s="3">
        <f>SUM(AL4:AL27)/H28</f>
        <v>2965.8246919474627</v>
      </c>
      <c r="AM28" s="29">
        <f>SUM(AM4:AM27)</f>
        <v>410.11999999999989</v>
      </c>
      <c r="AN28" s="29">
        <f>SUM(AN4:AN27)</f>
        <v>409.46299999999985</v>
      </c>
    </row>
    <row r="29" spans="1:45" s="81" customFormat="1" ht="23.25">
      <c r="A29" s="24"/>
      <c r="B29" s="24"/>
      <c r="C29" s="24"/>
      <c r="D29" s="24"/>
      <c r="E29" s="165"/>
      <c r="F29" s="197" t="s">
        <v>113</v>
      </c>
      <c r="G29" s="197"/>
      <c r="H29" s="150"/>
      <c r="I29" s="150"/>
      <c r="J29" s="150"/>
      <c r="K29" s="150"/>
      <c r="L29" s="169"/>
      <c r="M29" s="151" t="s">
        <v>112</v>
      </c>
      <c r="N29" s="151" t="s">
        <v>112</v>
      </c>
      <c r="O29" s="151" t="s">
        <v>112</v>
      </c>
      <c r="P29" s="151" t="s">
        <v>112</v>
      </c>
      <c r="Q29" s="151">
        <f>SUMPRODUCT(Q4:Q27,H4:H27)/H28</f>
        <v>2.863523172087465</v>
      </c>
      <c r="R29" s="151" t="s">
        <v>112</v>
      </c>
      <c r="S29" s="151" t="s">
        <v>112</v>
      </c>
      <c r="T29" s="151" t="s">
        <v>112</v>
      </c>
      <c r="U29" s="151" t="s">
        <v>112</v>
      </c>
      <c r="V29" s="142">
        <v>5.96</v>
      </c>
      <c r="W29" s="151" t="s">
        <v>112</v>
      </c>
      <c r="X29" s="151" t="s">
        <v>112</v>
      </c>
      <c r="Y29" s="151" t="s">
        <v>112</v>
      </c>
      <c r="Z29" s="151">
        <v>1.23</v>
      </c>
      <c r="AA29" s="151" t="s">
        <v>112</v>
      </c>
      <c r="AB29" s="151" t="s">
        <v>112</v>
      </c>
      <c r="AC29" s="151">
        <f>SUMPRODUCT(AC4:AC27,H4:H27)/H28</f>
        <v>0.78249993727449629</v>
      </c>
      <c r="AD29" s="151" t="s">
        <v>112</v>
      </c>
      <c r="AE29" s="151">
        <f>SUMPRODUCT(AE4:AE27,H4:H27)/H28</f>
        <v>1.125682092325168</v>
      </c>
      <c r="AF29" s="151" t="s">
        <v>112</v>
      </c>
      <c r="AG29" s="151">
        <f>SUMPRODUCT(AG4:AG27,H4:H27)/H28</f>
        <v>2.5483816004724793</v>
      </c>
      <c r="AH29" s="151" t="s">
        <v>112</v>
      </c>
      <c r="AI29" s="151">
        <f>SUMPRODUCT(AO4:AO27,H4:H27)/H28</f>
        <v>0</v>
      </c>
      <c r="AM29" s="81">
        <f>((AM28-H28)/H28)*100</f>
        <v>3.0488176685053794E-2</v>
      </c>
      <c r="AN29" s="81">
        <f>((AN28-H28)/H28)*100</f>
        <v>-0.12975767997174423</v>
      </c>
    </row>
    <row r="30" spans="1:45" s="81" customFormat="1" ht="15"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33"/>
      <c r="AF30" s="134"/>
      <c r="AG30" s="148"/>
      <c r="AH30" s="148"/>
      <c r="AI30" s="148"/>
    </row>
    <row r="31" spans="1:45" s="81" customFormat="1" ht="15">
      <c r="AE31" s="86"/>
      <c r="AF31" s="87"/>
    </row>
    <row r="32" spans="1:45" s="81" customFormat="1" ht="15">
      <c r="AE32" s="86"/>
      <c r="AF32" s="87"/>
    </row>
    <row r="33" spans="31:32" ht="15">
      <c r="AE33" s="19"/>
      <c r="AF33" s="20"/>
    </row>
    <row r="34" spans="31:32" ht="15">
      <c r="AE34" s="19"/>
      <c r="AF34" s="20"/>
    </row>
    <row r="35" spans="31:32">
      <c r="AE35" s="19"/>
      <c r="AF35" s="19"/>
    </row>
  </sheetData>
  <mergeCells count="30">
    <mergeCell ref="Q2:Q3"/>
    <mergeCell ref="R2:U2"/>
    <mergeCell ref="V2:V3"/>
    <mergeCell ref="W2:Y2"/>
    <mergeCell ref="B2:B3"/>
    <mergeCell ref="C2:C3"/>
    <mergeCell ref="D2:D3"/>
    <mergeCell ref="E2:E3"/>
    <mergeCell ref="M2:P2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F28:G28"/>
    <mergeCell ref="F29:G29"/>
    <mergeCell ref="A1:E1"/>
    <mergeCell ref="F2:F3"/>
    <mergeCell ref="A2:A3"/>
  </mergeCells>
  <printOptions horizontalCentered="1"/>
  <pageMargins left="0.64166666666666672" right="0.25" top="0.75" bottom="0.75" header="0.3" footer="0.3"/>
  <pageSetup paperSize="8" scale="39" fitToHeight="0" orientation="landscape" r:id="rId1"/>
  <colBreaks count="1" manualBreakCount="1"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8"/>
  <sheetViews>
    <sheetView view="pageLayout" zoomScale="55" zoomScaleNormal="70" zoomScalePageLayoutView="55" workbookViewId="0">
      <selection activeCell="X31" sqref="X31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6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0" customWidth="1"/>
    <col min="35" max="35" width="9" customWidth="1"/>
    <col min="37" max="37" width="9.75" bestFit="1" customWidth="1"/>
    <col min="38" max="38" width="12.25" bestFit="1" customWidth="1"/>
  </cols>
  <sheetData>
    <row r="1" spans="1:45" s="1" customFormat="1" ht="23.25">
      <c r="A1" s="192" t="s">
        <v>222</v>
      </c>
      <c r="B1" s="192"/>
      <c r="C1" s="192"/>
      <c r="D1" s="192"/>
      <c r="E1" s="19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80"/>
    </row>
    <row r="2" spans="1:45" s="1" customFormat="1" ht="29.25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244</v>
      </c>
      <c r="AB2" s="202" t="s">
        <v>245</v>
      </c>
      <c r="AC2" s="203" t="s">
        <v>246</v>
      </c>
      <c r="AD2" s="175" t="s">
        <v>247</v>
      </c>
      <c r="AE2" s="183" t="s">
        <v>248</v>
      </c>
      <c r="AF2" s="175" t="s">
        <v>249</v>
      </c>
      <c r="AG2" s="203" t="s">
        <v>250</v>
      </c>
      <c r="AH2" s="175" t="s">
        <v>251</v>
      </c>
      <c r="AI2" s="175" t="s">
        <v>252</v>
      </c>
      <c r="AK2" s="80"/>
    </row>
    <row r="3" spans="1:45" s="1" customFormat="1" ht="36.7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</row>
    <row r="4" spans="1:45" s="1" customFormat="1" ht="23.25">
      <c r="A4" s="8" t="s">
        <v>61</v>
      </c>
      <c r="B4" s="8">
        <v>425</v>
      </c>
      <c r="C4" s="25">
        <v>3155</v>
      </c>
      <c r="D4" s="8">
        <v>100</v>
      </c>
      <c r="E4" s="8" t="s">
        <v>62</v>
      </c>
      <c r="F4" s="9">
        <v>0</v>
      </c>
      <c r="G4" s="9">
        <v>24415</v>
      </c>
      <c r="H4" s="44">
        <v>24.414999999999999</v>
      </c>
      <c r="I4" s="11">
        <v>2</v>
      </c>
      <c r="J4" s="8" t="s">
        <v>227</v>
      </c>
      <c r="K4" s="12">
        <v>42236</v>
      </c>
      <c r="L4" s="13" t="s">
        <v>114</v>
      </c>
      <c r="M4" s="99">
        <v>15.75</v>
      </c>
      <c r="N4" s="99">
        <v>5.95</v>
      </c>
      <c r="O4" s="99">
        <v>2.2999999999999998</v>
      </c>
      <c r="P4" s="99">
        <v>0.4</v>
      </c>
      <c r="Q4" s="99">
        <v>2.4109099999999999</v>
      </c>
      <c r="R4" s="99">
        <v>22.975000000000001</v>
      </c>
      <c r="S4" s="99">
        <v>1.125</v>
      </c>
      <c r="T4" s="99">
        <v>0.3</v>
      </c>
      <c r="U4" s="99">
        <v>0</v>
      </c>
      <c r="V4" s="99">
        <v>5.0626800000000003</v>
      </c>
      <c r="W4" s="99">
        <v>0</v>
      </c>
      <c r="X4" s="99">
        <v>0</v>
      </c>
      <c r="Y4" s="99">
        <f>SUM(R4:U4)</f>
        <v>24.400000000000002</v>
      </c>
      <c r="Z4" s="99">
        <v>1.24031</v>
      </c>
      <c r="AA4" s="100">
        <v>0</v>
      </c>
      <c r="AB4" s="99">
        <v>89.37</v>
      </c>
      <c r="AC4" s="99">
        <f t="shared" ref="AC4:AC18" si="0">(AA4+AB4*0.5)/(3.5*H4*1000)*100</f>
        <v>5.2292209122026867E-2</v>
      </c>
      <c r="AD4" s="99">
        <v>168.77</v>
      </c>
      <c r="AE4" s="99">
        <f t="shared" ref="AE4:AE17" si="1">AD4/(3.5*H4*1000)*100</f>
        <v>0.19750153594101988</v>
      </c>
      <c r="AF4" s="99">
        <v>0</v>
      </c>
      <c r="AG4" s="99">
        <f t="shared" ref="AG4:AG18" si="2">AF4/(3.5*H4*1000)*100</f>
        <v>0</v>
      </c>
      <c r="AH4" s="99">
        <v>2.72</v>
      </c>
      <c r="AI4" s="50">
        <f t="shared" ref="AI4:AI18" si="3">AH4/(3.5*H4*1000)*100</f>
        <v>3.1830549135484628E-3</v>
      </c>
      <c r="AJ4" s="3"/>
      <c r="AK4" s="3">
        <f>AB4*0.5</f>
        <v>44.685000000000002</v>
      </c>
      <c r="AL4" s="3">
        <f t="shared" ref="AL4:AL18" si="4">(AA4+AD4+AF4+AH4+AK4)*H4</f>
        <v>5277.9126249999999</v>
      </c>
      <c r="AM4" s="18">
        <f>SUM(M4:P4)</f>
        <v>24.4</v>
      </c>
      <c r="AN4" s="28">
        <f>SUM(R4:U4)</f>
        <v>24.400000000000002</v>
      </c>
      <c r="AO4" s="4"/>
      <c r="AP4" s="5"/>
      <c r="AQ4" s="5"/>
      <c r="AR4" s="5"/>
      <c r="AS4" s="5"/>
    </row>
    <row r="5" spans="1:45" s="1" customFormat="1" ht="23.25">
      <c r="A5" s="8" t="s">
        <v>61</v>
      </c>
      <c r="B5" s="8">
        <v>425</v>
      </c>
      <c r="C5" s="25">
        <v>3156</v>
      </c>
      <c r="D5" s="8">
        <v>100</v>
      </c>
      <c r="E5" s="8" t="s">
        <v>63</v>
      </c>
      <c r="F5" s="9">
        <v>0</v>
      </c>
      <c r="G5" s="9">
        <v>35257</v>
      </c>
      <c r="H5" s="44">
        <v>35.256999999999998</v>
      </c>
      <c r="I5" s="11">
        <v>2</v>
      </c>
      <c r="J5" s="8" t="s">
        <v>95</v>
      </c>
      <c r="K5" s="12">
        <v>42236</v>
      </c>
      <c r="L5" s="13" t="s">
        <v>114</v>
      </c>
      <c r="M5" s="99">
        <v>24.73</v>
      </c>
      <c r="N5" s="99">
        <v>8</v>
      </c>
      <c r="O5" s="99">
        <v>1.875</v>
      </c>
      <c r="P5" s="99">
        <v>0.72499999999999998</v>
      </c>
      <c r="Q5" s="99">
        <v>2.5904199999999999</v>
      </c>
      <c r="R5" s="99">
        <v>30.2</v>
      </c>
      <c r="S5" s="99">
        <v>4</v>
      </c>
      <c r="T5" s="99">
        <v>1</v>
      </c>
      <c r="U5" s="99">
        <v>0.125</v>
      </c>
      <c r="V5" s="99">
        <v>7.7058999999999997</v>
      </c>
      <c r="W5" s="99">
        <v>0</v>
      </c>
      <c r="X5" s="99">
        <v>0</v>
      </c>
      <c r="Y5" s="99">
        <f t="shared" ref="Y5:Y18" si="5">SUM(R5:U5)</f>
        <v>35.325000000000003</v>
      </c>
      <c r="Z5" s="99">
        <v>1.1963299999999999</v>
      </c>
      <c r="AA5" s="100">
        <v>0</v>
      </c>
      <c r="AB5" s="99">
        <v>36.04</v>
      </c>
      <c r="AC5" s="99">
        <f t="shared" si="0"/>
        <v>1.4602976511250048E-2</v>
      </c>
      <c r="AD5" s="99">
        <v>0</v>
      </c>
      <c r="AE5" s="99">
        <f t="shared" si="1"/>
        <v>0</v>
      </c>
      <c r="AF5" s="99">
        <v>0</v>
      </c>
      <c r="AG5" s="99">
        <f t="shared" si="2"/>
        <v>0</v>
      </c>
      <c r="AH5" s="99">
        <v>0</v>
      </c>
      <c r="AI5" s="50">
        <f t="shared" si="3"/>
        <v>0</v>
      </c>
      <c r="AJ5" s="3"/>
      <c r="AK5" s="3">
        <f t="shared" ref="AK5:AK18" si="6">AB5*0.5</f>
        <v>18.02</v>
      </c>
      <c r="AL5" s="3">
        <f t="shared" si="4"/>
        <v>635.33113999999989</v>
      </c>
      <c r="AM5" s="18">
        <f>SUM(M5:P5)</f>
        <v>35.330000000000005</v>
      </c>
      <c r="AN5" s="28">
        <f>SUM(R5:U5)</f>
        <v>35.325000000000003</v>
      </c>
      <c r="AO5" s="4"/>
      <c r="AP5" s="5"/>
      <c r="AQ5" s="5"/>
      <c r="AR5" s="5"/>
      <c r="AS5" s="5"/>
    </row>
    <row r="6" spans="1:45" s="6" customFormat="1" ht="23.25">
      <c r="A6" s="8" t="s">
        <v>61</v>
      </c>
      <c r="B6" s="8">
        <v>425</v>
      </c>
      <c r="C6" s="25">
        <v>3157</v>
      </c>
      <c r="D6" s="8">
        <v>101</v>
      </c>
      <c r="E6" s="8" t="s">
        <v>64</v>
      </c>
      <c r="F6" s="9">
        <v>0</v>
      </c>
      <c r="G6" s="9">
        <v>34650</v>
      </c>
      <c r="H6" s="44">
        <v>34.65</v>
      </c>
      <c r="I6" s="11">
        <v>2</v>
      </c>
      <c r="J6" s="8" t="s">
        <v>95</v>
      </c>
      <c r="K6" s="12">
        <v>42236</v>
      </c>
      <c r="L6" s="13" t="s">
        <v>114</v>
      </c>
      <c r="M6" s="99">
        <v>8.4749999999999996</v>
      </c>
      <c r="N6" s="99">
        <v>9.625</v>
      </c>
      <c r="O6" s="99">
        <v>10.6</v>
      </c>
      <c r="P6" s="99">
        <v>6.4249999999999998</v>
      </c>
      <c r="Q6" s="99">
        <v>3.8286899999999999</v>
      </c>
      <c r="R6" s="99">
        <v>24.6</v>
      </c>
      <c r="S6" s="99">
        <v>7</v>
      </c>
      <c r="T6" s="99">
        <v>1.825</v>
      </c>
      <c r="U6" s="99">
        <v>1.7</v>
      </c>
      <c r="V6" s="99">
        <v>8.6662199999999991</v>
      </c>
      <c r="W6" s="99">
        <v>0</v>
      </c>
      <c r="X6" s="99">
        <v>0</v>
      </c>
      <c r="Y6" s="99">
        <f t="shared" si="5"/>
        <v>35.125000000000007</v>
      </c>
      <c r="Z6" s="99">
        <v>1.2379199999999999</v>
      </c>
      <c r="AA6" s="100">
        <v>80.27</v>
      </c>
      <c r="AB6" s="99">
        <v>2.36</v>
      </c>
      <c r="AC6" s="99">
        <f t="shared" si="0"/>
        <v>6.7161410018552886E-2</v>
      </c>
      <c r="AD6" s="99">
        <v>174.06</v>
      </c>
      <c r="AE6" s="99">
        <f t="shared" si="1"/>
        <v>0.14352504638218927</v>
      </c>
      <c r="AF6" s="99">
        <v>5</v>
      </c>
      <c r="AG6" s="99">
        <f t="shared" si="2"/>
        <v>4.1228612657184093E-3</v>
      </c>
      <c r="AH6" s="99">
        <v>203.89</v>
      </c>
      <c r="AI6" s="50">
        <f t="shared" si="3"/>
        <v>0.16812203669346529</v>
      </c>
      <c r="AJ6" s="3"/>
      <c r="AK6" s="3">
        <f t="shared" si="6"/>
        <v>1.18</v>
      </c>
      <c r="AL6" s="3">
        <f t="shared" si="4"/>
        <v>16091.46</v>
      </c>
      <c r="AM6" s="3">
        <f>SUM(M6:P6)</f>
        <v>35.125</v>
      </c>
      <c r="AN6" s="29">
        <f>SUM(R6:U6)</f>
        <v>35.125000000000007</v>
      </c>
      <c r="AO6" s="4"/>
      <c r="AP6" s="5"/>
      <c r="AQ6" s="5"/>
      <c r="AR6" s="5"/>
      <c r="AS6" s="5"/>
    </row>
    <row r="7" spans="1:45" s="6" customFormat="1" ht="23.25">
      <c r="A7" s="8" t="s">
        <v>61</v>
      </c>
      <c r="B7" s="8">
        <v>425</v>
      </c>
      <c r="C7" s="25">
        <v>3157</v>
      </c>
      <c r="D7" s="8">
        <v>102</v>
      </c>
      <c r="E7" s="8" t="s">
        <v>65</v>
      </c>
      <c r="F7" s="9">
        <v>34650</v>
      </c>
      <c r="G7" s="9">
        <v>81134</v>
      </c>
      <c r="H7" s="44">
        <v>46.484000000000002</v>
      </c>
      <c r="I7" s="11">
        <v>2</v>
      </c>
      <c r="J7" s="8" t="s">
        <v>95</v>
      </c>
      <c r="K7" s="12">
        <v>42236</v>
      </c>
      <c r="L7" s="13" t="s">
        <v>114</v>
      </c>
      <c r="M7" s="99">
        <v>25.73</v>
      </c>
      <c r="N7" s="99">
        <v>12.23</v>
      </c>
      <c r="O7" s="99">
        <v>5.75</v>
      </c>
      <c r="P7" s="99">
        <v>2.9750000000000001</v>
      </c>
      <c r="Q7" s="99">
        <v>3.0781299999999998</v>
      </c>
      <c r="R7" s="99">
        <v>42.95</v>
      </c>
      <c r="S7" s="99">
        <v>2.8250000000000002</v>
      </c>
      <c r="T7" s="99">
        <v>0.625</v>
      </c>
      <c r="U7" s="99">
        <v>0.27500000000000002</v>
      </c>
      <c r="V7" s="99">
        <v>4.95085</v>
      </c>
      <c r="W7" s="99">
        <v>0</v>
      </c>
      <c r="X7" s="99">
        <v>0</v>
      </c>
      <c r="Y7" s="99">
        <f t="shared" si="5"/>
        <v>46.675000000000004</v>
      </c>
      <c r="Z7" s="99">
        <v>1.4313499999999999</v>
      </c>
      <c r="AA7" s="100">
        <v>120.43</v>
      </c>
      <c r="AB7" s="99">
        <v>43.25</v>
      </c>
      <c r="AC7" s="99">
        <f t="shared" si="0"/>
        <v>8.7314221790600749E-2</v>
      </c>
      <c r="AD7" s="99">
        <v>131.53</v>
      </c>
      <c r="AE7" s="99">
        <f t="shared" si="1"/>
        <v>8.084502194303414E-2</v>
      </c>
      <c r="AF7" s="99">
        <v>0</v>
      </c>
      <c r="AG7" s="99">
        <f t="shared" si="2"/>
        <v>0</v>
      </c>
      <c r="AH7" s="99">
        <v>141.87</v>
      </c>
      <c r="AI7" s="50">
        <f t="shared" si="3"/>
        <v>8.7200511389479624E-2</v>
      </c>
      <c r="AJ7" s="3"/>
      <c r="AK7" s="3">
        <f t="shared" si="6"/>
        <v>21.625</v>
      </c>
      <c r="AL7" s="3">
        <f t="shared" si="4"/>
        <v>19312.010220000004</v>
      </c>
      <c r="AM7" s="3">
        <f>SUM(M7:P7)</f>
        <v>46.685000000000002</v>
      </c>
      <c r="AN7" s="29">
        <f>SUM(R7:U7)</f>
        <v>46.675000000000004</v>
      </c>
      <c r="AO7" s="4"/>
      <c r="AP7" s="5"/>
      <c r="AQ7" s="5"/>
      <c r="AR7" s="5"/>
      <c r="AS7" s="5"/>
    </row>
    <row r="8" spans="1:45" s="33" customFormat="1" ht="23.25">
      <c r="A8" s="35" t="s">
        <v>61</v>
      </c>
      <c r="B8" s="35">
        <v>425</v>
      </c>
      <c r="C8" s="25">
        <v>3158</v>
      </c>
      <c r="D8" s="35">
        <v>100</v>
      </c>
      <c r="E8" s="35" t="s">
        <v>141</v>
      </c>
      <c r="F8" s="36" t="s">
        <v>99</v>
      </c>
      <c r="G8" s="36" t="s">
        <v>142</v>
      </c>
      <c r="H8" s="44">
        <v>31.887</v>
      </c>
      <c r="I8" s="34">
        <v>2</v>
      </c>
      <c r="J8" s="35" t="s">
        <v>95</v>
      </c>
      <c r="K8" s="12">
        <v>42235</v>
      </c>
      <c r="L8" s="13" t="s">
        <v>114</v>
      </c>
      <c r="M8" s="99">
        <v>14.7</v>
      </c>
      <c r="N8" s="99">
        <v>8.6750000000000007</v>
      </c>
      <c r="O8" s="99">
        <v>4.6500000000000004</v>
      </c>
      <c r="P8" s="99">
        <v>3.65</v>
      </c>
      <c r="Q8" s="99">
        <v>3.48</v>
      </c>
      <c r="R8" s="99">
        <v>28.95</v>
      </c>
      <c r="S8" s="99">
        <v>2.2250000000000001</v>
      </c>
      <c r="T8" s="99">
        <v>0.35</v>
      </c>
      <c r="U8" s="99">
        <v>0.15</v>
      </c>
      <c r="V8" s="99">
        <v>5.4260000000000002</v>
      </c>
      <c r="W8" s="99">
        <v>0</v>
      </c>
      <c r="X8" s="99">
        <v>0</v>
      </c>
      <c r="Y8" s="99">
        <f t="shared" si="5"/>
        <v>31.675000000000001</v>
      </c>
      <c r="Z8" s="99">
        <v>1.214</v>
      </c>
      <c r="AA8" s="100">
        <v>110.26</v>
      </c>
      <c r="AB8" s="99">
        <v>353.98</v>
      </c>
      <c r="AC8" s="99">
        <f t="shared" si="0"/>
        <v>0.25738209480800506</v>
      </c>
      <c r="AD8" s="99">
        <v>70.819999999999993</v>
      </c>
      <c r="AE8" s="99">
        <f t="shared" si="1"/>
        <v>6.3456222643352184E-2</v>
      </c>
      <c r="AF8" s="99">
        <v>0</v>
      </c>
      <c r="AG8" s="99">
        <f t="shared" si="2"/>
        <v>0</v>
      </c>
      <c r="AH8" s="99">
        <v>75.349999999999994</v>
      </c>
      <c r="AI8" s="50">
        <f t="shared" si="3"/>
        <v>6.7515198759906622E-2</v>
      </c>
      <c r="AJ8" s="3"/>
      <c r="AK8" s="3">
        <f t="shared" si="6"/>
        <v>176.99</v>
      </c>
      <c r="AL8" s="3">
        <f t="shared" si="4"/>
        <v>13820.463539999999</v>
      </c>
      <c r="AM8" s="3"/>
      <c r="AN8" s="29"/>
      <c r="AO8" s="4"/>
      <c r="AP8" s="5"/>
      <c r="AQ8" s="5"/>
      <c r="AR8" s="5"/>
      <c r="AS8" s="5"/>
    </row>
    <row r="9" spans="1:45" s="6" customFormat="1" ht="23.25">
      <c r="A9" s="35" t="s">
        <v>61</v>
      </c>
      <c r="B9" s="8">
        <v>425</v>
      </c>
      <c r="C9" s="25">
        <v>3159</v>
      </c>
      <c r="D9" s="8">
        <v>100</v>
      </c>
      <c r="E9" s="8" t="s">
        <v>66</v>
      </c>
      <c r="F9" s="9">
        <v>0</v>
      </c>
      <c r="G9" s="9">
        <v>26690</v>
      </c>
      <c r="H9" s="44">
        <v>26.69</v>
      </c>
      <c r="I9" s="34">
        <v>2</v>
      </c>
      <c r="J9" s="8" t="s">
        <v>227</v>
      </c>
      <c r="K9" s="12">
        <v>42236</v>
      </c>
      <c r="L9" s="13" t="s">
        <v>114</v>
      </c>
      <c r="M9" s="99">
        <v>13.75</v>
      </c>
      <c r="N9" s="99">
        <v>6.5</v>
      </c>
      <c r="O9" s="99">
        <v>3.8250000000000002</v>
      </c>
      <c r="P9" s="99">
        <v>2.7</v>
      </c>
      <c r="Q9" s="99">
        <v>3.3845499999999999</v>
      </c>
      <c r="R9" s="99">
        <v>25.8</v>
      </c>
      <c r="S9" s="99">
        <v>0.75</v>
      </c>
      <c r="T9" s="99">
        <v>0.17499999999999999</v>
      </c>
      <c r="U9" s="99">
        <v>0.05</v>
      </c>
      <c r="V9" s="99">
        <v>4.9573700000000001</v>
      </c>
      <c r="W9" s="99">
        <v>0</v>
      </c>
      <c r="X9" s="99">
        <v>0</v>
      </c>
      <c r="Y9" s="99">
        <f t="shared" si="5"/>
        <v>26.775000000000002</v>
      </c>
      <c r="Z9" s="99">
        <v>1.3145100000000001</v>
      </c>
      <c r="AA9" s="100">
        <v>19.8</v>
      </c>
      <c r="AB9" s="99">
        <v>0</v>
      </c>
      <c r="AC9" s="99">
        <f t="shared" si="0"/>
        <v>2.1195739442273726E-2</v>
      </c>
      <c r="AD9" s="99">
        <v>57.17</v>
      </c>
      <c r="AE9" s="99">
        <f t="shared" si="1"/>
        <v>6.1200021409837824E-2</v>
      </c>
      <c r="AF9" s="99">
        <v>0</v>
      </c>
      <c r="AG9" s="99">
        <f t="shared" si="2"/>
        <v>0</v>
      </c>
      <c r="AH9" s="99">
        <v>29.13</v>
      </c>
      <c r="AI9" s="50">
        <f t="shared" si="3"/>
        <v>3.1183428785526948E-2</v>
      </c>
      <c r="AJ9" s="3"/>
      <c r="AK9" s="3">
        <f t="shared" si="6"/>
        <v>0</v>
      </c>
      <c r="AL9" s="3">
        <f t="shared" si="4"/>
        <v>2831.8090000000002</v>
      </c>
      <c r="AM9" s="3">
        <f>SUM(M9:P9)</f>
        <v>26.774999999999999</v>
      </c>
      <c r="AN9" s="29">
        <f>SUM(R9:U9)</f>
        <v>26.775000000000002</v>
      </c>
      <c r="AO9" s="4"/>
      <c r="AP9" s="5"/>
      <c r="AQ9" s="5"/>
      <c r="AR9" s="5"/>
      <c r="AS9" s="5"/>
    </row>
    <row r="10" spans="1:45" s="33" customFormat="1" ht="23.25">
      <c r="A10" s="35" t="s">
        <v>61</v>
      </c>
      <c r="B10" s="35">
        <v>425</v>
      </c>
      <c r="C10" s="25">
        <v>3271</v>
      </c>
      <c r="D10" s="35">
        <v>100</v>
      </c>
      <c r="E10" s="35" t="s">
        <v>143</v>
      </c>
      <c r="F10" s="36" t="s">
        <v>99</v>
      </c>
      <c r="G10" s="36" t="s">
        <v>145</v>
      </c>
      <c r="H10" s="44">
        <v>24.815000000000001</v>
      </c>
      <c r="I10" s="34">
        <v>2</v>
      </c>
      <c r="J10" s="35" t="s">
        <v>227</v>
      </c>
      <c r="K10" s="12">
        <v>42236</v>
      </c>
      <c r="L10" s="13" t="s">
        <v>114</v>
      </c>
      <c r="M10" s="99">
        <v>9.1750000000000007</v>
      </c>
      <c r="N10" s="99">
        <v>8.7750000000000004</v>
      </c>
      <c r="O10" s="99">
        <v>4.3</v>
      </c>
      <c r="P10" s="99">
        <v>2.6</v>
      </c>
      <c r="Q10" s="99">
        <v>3.6970000000000001</v>
      </c>
      <c r="R10" s="99">
        <v>22.1</v>
      </c>
      <c r="S10" s="99">
        <v>1.875</v>
      </c>
      <c r="T10" s="99">
        <v>0.67500000000000004</v>
      </c>
      <c r="U10" s="99">
        <v>0.2</v>
      </c>
      <c r="V10" s="99">
        <v>5.88</v>
      </c>
      <c r="W10" s="99">
        <v>0</v>
      </c>
      <c r="X10" s="99">
        <v>0</v>
      </c>
      <c r="Y10" s="99">
        <f t="shared" si="5"/>
        <v>24.85</v>
      </c>
      <c r="Z10" s="99">
        <v>1.5449999999999999</v>
      </c>
      <c r="AA10" s="100">
        <v>0.97</v>
      </c>
      <c r="AB10" s="99">
        <v>62.6</v>
      </c>
      <c r="AC10" s="99">
        <f t="shared" si="0"/>
        <v>3.7154946604876088E-2</v>
      </c>
      <c r="AD10" s="99">
        <v>7.43</v>
      </c>
      <c r="AE10" s="99">
        <f t="shared" si="1"/>
        <v>8.5547336000690831E-3</v>
      </c>
      <c r="AF10" s="99">
        <v>35.82</v>
      </c>
      <c r="AG10" s="99">
        <f t="shared" si="2"/>
        <v>4.1242336144612993E-2</v>
      </c>
      <c r="AH10" s="99">
        <v>38.06</v>
      </c>
      <c r="AI10" s="50">
        <f t="shared" si="3"/>
        <v>4.3821421375320226E-2</v>
      </c>
      <c r="AJ10" s="3"/>
      <c r="AK10" s="3">
        <f t="shared" si="6"/>
        <v>31.3</v>
      </c>
      <c r="AL10" s="3">
        <f t="shared" si="4"/>
        <v>2818.4877000000001</v>
      </c>
      <c r="AM10" s="3"/>
      <c r="AN10" s="29"/>
      <c r="AO10" s="4"/>
      <c r="AP10" s="5"/>
      <c r="AQ10" s="5"/>
      <c r="AR10" s="5"/>
      <c r="AS10" s="5"/>
    </row>
    <row r="11" spans="1:45" s="33" customFormat="1" ht="23.25">
      <c r="A11" s="35" t="s">
        <v>61</v>
      </c>
      <c r="B11" s="35">
        <v>425</v>
      </c>
      <c r="C11" s="25">
        <v>3277</v>
      </c>
      <c r="D11" s="35">
        <v>100</v>
      </c>
      <c r="E11" s="35" t="s">
        <v>144</v>
      </c>
      <c r="F11" s="36" t="s">
        <v>146</v>
      </c>
      <c r="G11" s="36" t="s">
        <v>99</v>
      </c>
      <c r="H11" s="44">
        <v>26.893000000000001</v>
      </c>
      <c r="I11" s="34">
        <v>2</v>
      </c>
      <c r="J11" s="35" t="s">
        <v>95</v>
      </c>
      <c r="K11" s="12">
        <v>42235</v>
      </c>
      <c r="L11" s="13" t="s">
        <v>114</v>
      </c>
      <c r="M11" s="99">
        <v>18.05</v>
      </c>
      <c r="N11" s="99">
        <v>4.95</v>
      </c>
      <c r="O11" s="99">
        <v>2.4500000000000002</v>
      </c>
      <c r="P11" s="99">
        <v>1.425</v>
      </c>
      <c r="Q11" s="99">
        <v>2.3620000000000001</v>
      </c>
      <c r="R11" s="99">
        <v>24.975000000000001</v>
      </c>
      <c r="S11" s="99">
        <v>1.5249999999999999</v>
      </c>
      <c r="T11" s="99">
        <v>0.22500000000000001</v>
      </c>
      <c r="U11" s="99">
        <v>0.15</v>
      </c>
      <c r="V11" s="99">
        <v>5.5419999999999998</v>
      </c>
      <c r="W11" s="99">
        <v>0</v>
      </c>
      <c r="X11" s="99">
        <v>0</v>
      </c>
      <c r="Y11" s="99">
        <f t="shared" si="5"/>
        <v>26.875</v>
      </c>
      <c r="Z11" s="99">
        <v>1.268</v>
      </c>
      <c r="AA11" s="100">
        <v>0</v>
      </c>
      <c r="AB11" s="99">
        <v>13.07</v>
      </c>
      <c r="AC11" s="99">
        <f t="shared" si="0"/>
        <v>6.942858205268498E-3</v>
      </c>
      <c r="AD11" s="99">
        <v>47.41</v>
      </c>
      <c r="AE11" s="99">
        <f t="shared" si="1"/>
        <v>5.0368922343042001E-2</v>
      </c>
      <c r="AF11" s="99">
        <v>30.16</v>
      </c>
      <c r="AG11" s="99">
        <f t="shared" si="2"/>
        <v>3.2042326468385292E-2</v>
      </c>
      <c r="AH11" s="99">
        <v>24.04</v>
      </c>
      <c r="AI11" s="50">
        <f t="shared" si="3"/>
        <v>2.5540368975463607E-2</v>
      </c>
      <c r="AJ11" s="3"/>
      <c r="AK11" s="3">
        <f t="shared" si="6"/>
        <v>6.5350000000000001</v>
      </c>
      <c r="AL11" s="3">
        <f t="shared" si="4"/>
        <v>2908.3434849999994</v>
      </c>
      <c r="AM11" s="3"/>
      <c r="AN11" s="29"/>
      <c r="AO11" s="4"/>
      <c r="AP11" s="5"/>
      <c r="AQ11" s="5"/>
      <c r="AR11" s="5"/>
      <c r="AS11" s="5"/>
    </row>
    <row r="12" spans="1:45" s="6" customFormat="1" ht="23.25">
      <c r="A12" s="35" t="s">
        <v>61</v>
      </c>
      <c r="B12" s="8">
        <v>425</v>
      </c>
      <c r="C12" s="25">
        <v>3299</v>
      </c>
      <c r="D12" s="8">
        <v>100</v>
      </c>
      <c r="E12" s="8" t="s">
        <v>67</v>
      </c>
      <c r="F12" s="9">
        <v>0</v>
      </c>
      <c r="G12" s="9">
        <v>30000</v>
      </c>
      <c r="H12" s="44">
        <v>30</v>
      </c>
      <c r="I12" s="34">
        <v>2</v>
      </c>
      <c r="J12" s="8" t="s">
        <v>227</v>
      </c>
      <c r="K12" s="12">
        <v>42236</v>
      </c>
      <c r="L12" s="13" t="s">
        <v>114</v>
      </c>
      <c r="M12" s="99">
        <v>14.7</v>
      </c>
      <c r="N12" s="99">
        <v>9.65</v>
      </c>
      <c r="O12" s="99">
        <v>3.0249999999999999</v>
      </c>
      <c r="P12" s="99">
        <v>2.5750000000000002</v>
      </c>
      <c r="Q12" s="99">
        <v>3.0032399999999999</v>
      </c>
      <c r="R12" s="99">
        <v>25.15</v>
      </c>
      <c r="S12" s="99">
        <v>3.95</v>
      </c>
      <c r="T12" s="99">
        <v>0.57499999999999996</v>
      </c>
      <c r="U12" s="99">
        <v>0.27500000000000002</v>
      </c>
      <c r="V12" s="99">
        <v>6.8481100000000001</v>
      </c>
      <c r="W12" s="99">
        <v>0</v>
      </c>
      <c r="X12" s="99">
        <v>0</v>
      </c>
      <c r="Y12" s="99">
        <f t="shared" si="5"/>
        <v>29.949999999999996</v>
      </c>
      <c r="Z12" s="99">
        <v>1.4038999999999999</v>
      </c>
      <c r="AA12" s="100">
        <v>281.93</v>
      </c>
      <c r="AB12" s="99">
        <v>8.6</v>
      </c>
      <c r="AC12" s="99">
        <f t="shared" si="0"/>
        <v>0.27260000000000001</v>
      </c>
      <c r="AD12" s="99">
        <v>147.27000000000001</v>
      </c>
      <c r="AE12" s="99">
        <f t="shared" si="1"/>
        <v>0.14025714285714286</v>
      </c>
      <c r="AF12" s="99">
        <v>0</v>
      </c>
      <c r="AG12" s="99">
        <f t="shared" si="2"/>
        <v>0</v>
      </c>
      <c r="AH12" s="99">
        <v>207.01</v>
      </c>
      <c r="AI12" s="50">
        <f t="shared" si="3"/>
        <v>0.19715238095238094</v>
      </c>
      <c r="AJ12" s="3"/>
      <c r="AK12" s="3">
        <f t="shared" si="6"/>
        <v>4.3</v>
      </c>
      <c r="AL12" s="3">
        <f t="shared" si="4"/>
        <v>19215.3</v>
      </c>
      <c r="AM12" s="3">
        <f>SUM(M12:P12)</f>
        <v>29.95</v>
      </c>
      <c r="AN12" s="29">
        <f>SUM(R12:U12)</f>
        <v>29.949999999999996</v>
      </c>
      <c r="AO12" s="4"/>
      <c r="AP12" s="5"/>
      <c r="AQ12" s="5"/>
      <c r="AR12" s="5"/>
      <c r="AS12" s="5"/>
    </row>
    <row r="13" spans="1:45" s="33" customFormat="1" ht="23.25">
      <c r="A13" s="35" t="s">
        <v>61</v>
      </c>
      <c r="B13" s="35">
        <v>425</v>
      </c>
      <c r="C13" s="25">
        <v>3388</v>
      </c>
      <c r="D13" s="35">
        <v>100</v>
      </c>
      <c r="E13" s="35" t="s">
        <v>147</v>
      </c>
      <c r="F13" s="36" t="s">
        <v>148</v>
      </c>
      <c r="G13" s="36" t="s">
        <v>99</v>
      </c>
      <c r="H13" s="44">
        <v>14.638999999999999</v>
      </c>
      <c r="I13" s="34">
        <v>2</v>
      </c>
      <c r="J13" s="35" t="s">
        <v>95</v>
      </c>
      <c r="K13" s="12">
        <v>42236</v>
      </c>
      <c r="L13" s="13" t="s">
        <v>114</v>
      </c>
      <c r="M13" s="99">
        <v>8.8000000000000007</v>
      </c>
      <c r="N13" s="99">
        <v>4.5</v>
      </c>
      <c r="O13" s="99">
        <v>1</v>
      </c>
      <c r="P13" s="99">
        <v>0.375</v>
      </c>
      <c r="Q13" s="99">
        <v>2.8109999999999999</v>
      </c>
      <c r="R13" s="99">
        <v>14.05</v>
      </c>
      <c r="S13" s="99">
        <v>0.3</v>
      </c>
      <c r="T13" s="99">
        <v>0.2</v>
      </c>
      <c r="U13" s="99">
        <v>0.125</v>
      </c>
      <c r="V13" s="99">
        <v>3.9670000000000001</v>
      </c>
      <c r="W13" s="99">
        <v>0</v>
      </c>
      <c r="X13" s="99">
        <v>0</v>
      </c>
      <c r="Y13" s="99">
        <f t="shared" si="5"/>
        <v>14.675000000000001</v>
      </c>
      <c r="Z13" s="99">
        <v>1.151</v>
      </c>
      <c r="AA13" s="100">
        <v>0</v>
      </c>
      <c r="AB13" s="99">
        <v>460.16</v>
      </c>
      <c r="AC13" s="99">
        <f t="shared" si="0"/>
        <v>0.44905487299093427</v>
      </c>
      <c r="AD13" s="99">
        <v>6.48</v>
      </c>
      <c r="AE13" s="99">
        <f t="shared" si="1"/>
        <v>1.2647233905516576E-2</v>
      </c>
      <c r="AF13" s="99">
        <v>0</v>
      </c>
      <c r="AG13" s="99">
        <f t="shared" si="2"/>
        <v>0</v>
      </c>
      <c r="AH13" s="99">
        <v>3.88</v>
      </c>
      <c r="AI13" s="50">
        <f t="shared" si="3"/>
        <v>7.5727264742907882E-3</v>
      </c>
      <c r="AJ13" s="3"/>
      <c r="AK13" s="3">
        <f t="shared" si="6"/>
        <v>230.08</v>
      </c>
      <c r="AL13" s="3">
        <f t="shared" si="4"/>
        <v>3519.80116</v>
      </c>
      <c r="AM13" s="3"/>
      <c r="AN13" s="29"/>
      <c r="AO13" s="4"/>
      <c r="AP13" s="5"/>
      <c r="AQ13" s="5"/>
      <c r="AR13" s="5"/>
      <c r="AS13" s="5"/>
    </row>
    <row r="14" spans="1:45" s="6" customFormat="1" ht="23.25">
      <c r="A14" s="8" t="s">
        <v>61</v>
      </c>
      <c r="B14" s="8">
        <v>425</v>
      </c>
      <c r="C14" s="25">
        <v>3447</v>
      </c>
      <c r="D14" s="8">
        <v>101</v>
      </c>
      <c r="E14" s="8" t="s">
        <v>68</v>
      </c>
      <c r="F14" s="9">
        <v>0</v>
      </c>
      <c r="G14" s="9">
        <v>7569</v>
      </c>
      <c r="H14" s="44">
        <v>7.569</v>
      </c>
      <c r="I14" s="11">
        <v>2</v>
      </c>
      <c r="J14" s="8" t="s">
        <v>227</v>
      </c>
      <c r="K14" s="12">
        <v>42235</v>
      </c>
      <c r="L14" s="13" t="s">
        <v>114</v>
      </c>
      <c r="M14" s="99">
        <v>4.4749999999999996</v>
      </c>
      <c r="N14" s="99">
        <v>1.7</v>
      </c>
      <c r="O14" s="99">
        <v>0.9</v>
      </c>
      <c r="P14" s="99">
        <v>0.5</v>
      </c>
      <c r="Q14" s="99">
        <v>2.9097200000000001</v>
      </c>
      <c r="R14" s="99">
        <v>7.3250000000000002</v>
      </c>
      <c r="S14" s="99">
        <v>0.2</v>
      </c>
      <c r="T14" s="99">
        <v>0.05</v>
      </c>
      <c r="U14" s="99">
        <v>0</v>
      </c>
      <c r="V14" s="99">
        <v>4.4138500000000001</v>
      </c>
      <c r="W14" s="99">
        <v>0</v>
      </c>
      <c r="X14" s="99">
        <v>0</v>
      </c>
      <c r="Y14" s="99">
        <f t="shared" si="5"/>
        <v>7.5750000000000002</v>
      </c>
      <c r="Z14" s="99">
        <v>1.21052</v>
      </c>
      <c r="AA14" s="100">
        <v>61.17</v>
      </c>
      <c r="AB14" s="99">
        <v>0</v>
      </c>
      <c r="AC14" s="99">
        <f t="shared" si="0"/>
        <v>0.23090425230734385</v>
      </c>
      <c r="AD14" s="99">
        <v>37.369999999999997</v>
      </c>
      <c r="AE14" s="99">
        <f t="shared" si="1"/>
        <v>0.14106411490478077</v>
      </c>
      <c r="AF14" s="99">
        <v>51</v>
      </c>
      <c r="AG14" s="99">
        <f t="shared" si="2"/>
        <v>0.19251458014834946</v>
      </c>
      <c r="AH14" s="99">
        <v>8.0299999999999994</v>
      </c>
      <c r="AI14" s="50">
        <f t="shared" si="3"/>
        <v>3.0311609384142083E-2</v>
      </c>
      <c r="AJ14" s="3"/>
      <c r="AK14" s="3">
        <f t="shared" si="6"/>
        <v>0</v>
      </c>
      <c r="AL14" s="3">
        <f t="shared" si="4"/>
        <v>1192.64733</v>
      </c>
      <c r="AM14" s="3">
        <f>SUM(M14:P14)</f>
        <v>7.5750000000000002</v>
      </c>
      <c r="AN14" s="29">
        <f>SUM(R14:U14)</f>
        <v>7.5750000000000002</v>
      </c>
      <c r="AO14" s="4"/>
      <c r="AP14" s="5"/>
      <c r="AQ14" s="5"/>
      <c r="AR14" s="5"/>
      <c r="AS14" s="5"/>
    </row>
    <row r="15" spans="1:45" s="6" customFormat="1" ht="23.25">
      <c r="A15" s="8" t="s">
        <v>61</v>
      </c>
      <c r="B15" s="8">
        <v>425</v>
      </c>
      <c r="C15" s="25">
        <v>3447</v>
      </c>
      <c r="D15" s="8">
        <v>102</v>
      </c>
      <c r="E15" s="8" t="s">
        <v>69</v>
      </c>
      <c r="F15" s="9">
        <v>7569</v>
      </c>
      <c r="G15" s="9">
        <v>13538</v>
      </c>
      <c r="H15" s="44">
        <v>5.9690000000000003</v>
      </c>
      <c r="I15" s="11">
        <v>2</v>
      </c>
      <c r="J15" s="8" t="s">
        <v>227</v>
      </c>
      <c r="K15" s="12">
        <v>42235</v>
      </c>
      <c r="L15" s="13" t="s">
        <v>114</v>
      </c>
      <c r="M15" s="99">
        <v>2.4249999999999998</v>
      </c>
      <c r="N15" s="99">
        <v>1.825</v>
      </c>
      <c r="O15" s="99">
        <v>0.82499999999999996</v>
      </c>
      <c r="P15" s="99">
        <v>0.9</v>
      </c>
      <c r="Q15" s="99">
        <v>3.38381</v>
      </c>
      <c r="R15" s="99">
        <v>5.5750000000000002</v>
      </c>
      <c r="S15" s="99">
        <v>0.35</v>
      </c>
      <c r="T15" s="99">
        <v>2.5000000000000001E-2</v>
      </c>
      <c r="U15" s="99">
        <v>2.5000000000000001E-2</v>
      </c>
      <c r="V15" s="99">
        <v>4.8415499999999998</v>
      </c>
      <c r="W15" s="99">
        <v>0</v>
      </c>
      <c r="X15" s="99">
        <v>0</v>
      </c>
      <c r="Y15" s="99">
        <f t="shared" si="5"/>
        <v>5.9750000000000005</v>
      </c>
      <c r="Z15" s="99">
        <v>1.28487</v>
      </c>
      <c r="AA15" s="100">
        <v>218.79</v>
      </c>
      <c r="AB15" s="99">
        <v>0</v>
      </c>
      <c r="AC15" s="99">
        <f t="shared" si="0"/>
        <v>1.0472680276667545</v>
      </c>
      <c r="AD15" s="99">
        <v>0</v>
      </c>
      <c r="AE15" s="99">
        <f t="shared" si="1"/>
        <v>0</v>
      </c>
      <c r="AF15" s="99">
        <v>0</v>
      </c>
      <c r="AG15" s="99">
        <f t="shared" si="2"/>
        <v>0</v>
      </c>
      <c r="AH15" s="99">
        <v>50.92</v>
      </c>
      <c r="AI15" s="50">
        <f t="shared" si="3"/>
        <v>0.24373549051049473</v>
      </c>
      <c r="AJ15" s="3"/>
      <c r="AK15" s="3">
        <f t="shared" si="6"/>
        <v>0</v>
      </c>
      <c r="AL15" s="3">
        <f t="shared" si="4"/>
        <v>1609.8989899999999</v>
      </c>
      <c r="AM15" s="3">
        <f>SUM(M15:P15)</f>
        <v>5.9750000000000005</v>
      </c>
      <c r="AN15" s="29">
        <f>SUM(R15:U15)</f>
        <v>5.9750000000000005</v>
      </c>
      <c r="AO15" s="4"/>
      <c r="AP15" s="5"/>
      <c r="AQ15" s="5"/>
      <c r="AR15" s="5"/>
      <c r="AS15" s="5"/>
    </row>
    <row r="16" spans="1:45" s="33" customFormat="1" ht="23.25">
      <c r="A16" s="35" t="s">
        <v>61</v>
      </c>
      <c r="B16" s="35">
        <v>425</v>
      </c>
      <c r="C16" s="25">
        <v>3494</v>
      </c>
      <c r="D16" s="35">
        <v>100</v>
      </c>
      <c r="E16" s="35" t="s">
        <v>149</v>
      </c>
      <c r="F16" s="36" t="s">
        <v>99</v>
      </c>
      <c r="G16" s="36" t="s">
        <v>150</v>
      </c>
      <c r="H16" s="44">
        <v>21.5</v>
      </c>
      <c r="I16" s="34">
        <v>2</v>
      </c>
      <c r="J16" s="35" t="s">
        <v>227</v>
      </c>
      <c r="K16" s="12">
        <v>42236</v>
      </c>
      <c r="L16" s="13" t="s">
        <v>114</v>
      </c>
      <c r="M16" s="99">
        <v>18.524999999999999</v>
      </c>
      <c r="N16" s="99">
        <v>1.5</v>
      </c>
      <c r="O16" s="99">
        <v>0.82499999999999996</v>
      </c>
      <c r="P16" s="99">
        <v>0.5</v>
      </c>
      <c r="Q16" s="99">
        <v>1.8919999999999999</v>
      </c>
      <c r="R16" s="99">
        <v>20.95</v>
      </c>
      <c r="S16" s="99">
        <v>0.375</v>
      </c>
      <c r="T16" s="99">
        <v>2.5000000000000001E-2</v>
      </c>
      <c r="U16" s="99">
        <v>0</v>
      </c>
      <c r="V16" s="99">
        <v>3.9550000000000001</v>
      </c>
      <c r="W16" s="99">
        <v>0</v>
      </c>
      <c r="X16" s="99">
        <v>0</v>
      </c>
      <c r="Y16" s="99">
        <f t="shared" si="5"/>
        <v>21.349999999999998</v>
      </c>
      <c r="Z16" s="99">
        <v>1.2230000000000001</v>
      </c>
      <c r="AA16" s="100">
        <v>0</v>
      </c>
      <c r="AB16" s="99">
        <v>26.18</v>
      </c>
      <c r="AC16" s="99">
        <f t="shared" si="0"/>
        <v>1.7395348837209303E-2</v>
      </c>
      <c r="AD16" s="99">
        <v>4.21</v>
      </c>
      <c r="AE16" s="99">
        <f t="shared" si="1"/>
        <v>5.5946843853820595E-3</v>
      </c>
      <c r="AF16" s="99">
        <v>0</v>
      </c>
      <c r="AG16" s="99">
        <f t="shared" si="2"/>
        <v>0</v>
      </c>
      <c r="AH16" s="99">
        <v>10.220000000000001</v>
      </c>
      <c r="AI16" s="50">
        <f t="shared" si="3"/>
        <v>1.3581395348837209E-2</v>
      </c>
      <c r="AJ16" s="3"/>
      <c r="AK16" s="3">
        <f t="shared" si="6"/>
        <v>13.09</v>
      </c>
      <c r="AL16" s="3">
        <f t="shared" si="4"/>
        <v>591.67999999999995</v>
      </c>
      <c r="AM16" s="3"/>
      <c r="AN16" s="29"/>
      <c r="AO16" s="4"/>
      <c r="AP16" s="5"/>
      <c r="AQ16" s="5"/>
      <c r="AR16" s="5"/>
      <c r="AS16" s="5"/>
    </row>
    <row r="17" spans="1:45" s="6" customFormat="1" ht="23.25">
      <c r="A17" s="8" t="s">
        <v>61</v>
      </c>
      <c r="B17" s="8">
        <v>425</v>
      </c>
      <c r="C17" s="25">
        <v>3517</v>
      </c>
      <c r="D17" s="8">
        <v>100</v>
      </c>
      <c r="E17" s="8" t="s">
        <v>70</v>
      </c>
      <c r="F17" s="9">
        <v>0</v>
      </c>
      <c r="G17" s="9">
        <v>395</v>
      </c>
      <c r="H17" s="44">
        <v>0.39500000000000002</v>
      </c>
      <c r="I17" s="11">
        <v>2</v>
      </c>
      <c r="J17" s="8" t="s">
        <v>227</v>
      </c>
      <c r="K17" s="12">
        <v>42236</v>
      </c>
      <c r="L17" s="13" t="s">
        <v>114</v>
      </c>
      <c r="M17" s="99">
        <v>0.05</v>
      </c>
      <c r="N17" s="99">
        <v>0.25</v>
      </c>
      <c r="O17" s="99">
        <v>0.125</v>
      </c>
      <c r="P17" s="99">
        <v>0</v>
      </c>
      <c r="Q17" s="99">
        <v>3.2211799999999999</v>
      </c>
      <c r="R17" s="99">
        <v>0.4</v>
      </c>
      <c r="S17" s="99">
        <v>2.5000000000000001E-2</v>
      </c>
      <c r="T17" s="99">
        <v>0</v>
      </c>
      <c r="U17" s="99">
        <v>0</v>
      </c>
      <c r="V17" s="99">
        <v>3.883</v>
      </c>
      <c r="W17" s="99">
        <v>0</v>
      </c>
      <c r="X17" s="99">
        <v>0</v>
      </c>
      <c r="Y17" s="99">
        <f t="shared" si="5"/>
        <v>0.42500000000000004</v>
      </c>
      <c r="Z17" s="99">
        <v>1.0185900000000001</v>
      </c>
      <c r="AA17" s="100">
        <v>0</v>
      </c>
      <c r="AB17" s="99">
        <v>0</v>
      </c>
      <c r="AC17" s="99">
        <f t="shared" si="0"/>
        <v>0</v>
      </c>
      <c r="AD17" s="99">
        <v>0</v>
      </c>
      <c r="AE17" s="99">
        <f t="shared" si="1"/>
        <v>0</v>
      </c>
      <c r="AF17" s="99">
        <v>0</v>
      </c>
      <c r="AG17" s="99">
        <f t="shared" si="2"/>
        <v>0</v>
      </c>
      <c r="AH17" s="99">
        <v>0</v>
      </c>
      <c r="AI17" s="50">
        <f t="shared" si="3"/>
        <v>0</v>
      </c>
      <c r="AJ17" s="3"/>
      <c r="AK17" s="3">
        <f t="shared" si="6"/>
        <v>0</v>
      </c>
      <c r="AL17" s="3">
        <f t="shared" si="4"/>
        <v>0</v>
      </c>
      <c r="AM17" s="3">
        <f>SUM(M17:P17)</f>
        <v>0.42499999999999999</v>
      </c>
      <c r="AN17" s="29">
        <f>SUM(R17:U17)</f>
        <v>0.42500000000000004</v>
      </c>
      <c r="AO17" s="4"/>
      <c r="AP17" s="5"/>
      <c r="AQ17" s="5"/>
      <c r="AR17" s="5"/>
      <c r="AS17" s="5"/>
    </row>
    <row r="18" spans="1:45" s="6" customFormat="1" ht="23.25">
      <c r="A18" s="8" t="s">
        <v>61</v>
      </c>
      <c r="B18" s="8">
        <v>425</v>
      </c>
      <c r="C18" s="25">
        <v>3577</v>
      </c>
      <c r="D18" s="8">
        <v>100</v>
      </c>
      <c r="E18" s="8" t="s">
        <v>71</v>
      </c>
      <c r="F18" s="9">
        <v>0</v>
      </c>
      <c r="G18" s="9">
        <v>1828</v>
      </c>
      <c r="H18" s="44">
        <v>1.8280000000000001</v>
      </c>
      <c r="I18" s="11">
        <v>2</v>
      </c>
      <c r="J18" s="8" t="s">
        <v>227</v>
      </c>
      <c r="K18" s="12">
        <v>42235</v>
      </c>
      <c r="L18" s="13" t="s">
        <v>114</v>
      </c>
      <c r="M18" s="147">
        <v>0.95</v>
      </c>
      <c r="N18" s="147">
        <v>0.5</v>
      </c>
      <c r="O18" s="147">
        <v>0.15</v>
      </c>
      <c r="P18" s="147">
        <v>0.3</v>
      </c>
      <c r="Q18" s="147">
        <v>3.1997399999999998</v>
      </c>
      <c r="R18" s="147">
        <v>1.7250000000000001</v>
      </c>
      <c r="S18" s="147">
        <v>0.1</v>
      </c>
      <c r="T18" s="147">
        <v>0.05</v>
      </c>
      <c r="U18" s="147">
        <v>2.5000000000000001E-2</v>
      </c>
      <c r="V18" s="147">
        <v>6.20878</v>
      </c>
      <c r="W18" s="147">
        <v>0</v>
      </c>
      <c r="X18" s="147">
        <v>0</v>
      </c>
      <c r="Y18" s="147">
        <f t="shared" si="5"/>
        <v>1.9000000000000001</v>
      </c>
      <c r="Z18" s="147">
        <v>1.20068</v>
      </c>
      <c r="AA18" s="100">
        <v>0</v>
      </c>
      <c r="AB18" s="99">
        <v>0</v>
      </c>
      <c r="AC18" s="99">
        <f t="shared" si="0"/>
        <v>0</v>
      </c>
      <c r="AD18" s="99">
        <v>0.05</v>
      </c>
      <c r="AE18" s="99">
        <v>7.8100000000000001E-4</v>
      </c>
      <c r="AF18" s="99">
        <v>0</v>
      </c>
      <c r="AG18" s="99">
        <f t="shared" si="2"/>
        <v>0</v>
      </c>
      <c r="AH18" s="99">
        <v>8.02</v>
      </c>
      <c r="AI18" s="50">
        <f t="shared" si="3"/>
        <v>0.12535167239762424</v>
      </c>
      <c r="AJ18" s="3"/>
      <c r="AK18" s="3">
        <f t="shared" si="6"/>
        <v>0</v>
      </c>
      <c r="AL18" s="3">
        <f t="shared" si="4"/>
        <v>14.75196</v>
      </c>
      <c r="AM18" s="3">
        <f>SUM(M18:P18)</f>
        <v>1.9</v>
      </c>
      <c r="AN18" s="29">
        <f>SUM(R18:U18)</f>
        <v>1.9000000000000001</v>
      </c>
      <c r="AO18" s="4"/>
      <c r="AP18" s="5"/>
      <c r="AQ18" s="5"/>
      <c r="AR18" s="5"/>
      <c r="AS18" s="5"/>
    </row>
    <row r="19" spans="1:45" ht="23.25">
      <c r="A19" s="23"/>
      <c r="B19" s="23"/>
      <c r="C19" s="23"/>
      <c r="D19" s="23"/>
      <c r="E19" s="23"/>
      <c r="F19" s="205" t="s">
        <v>111</v>
      </c>
      <c r="G19" s="205"/>
      <c r="H19" s="160">
        <v>337.32799999999997</v>
      </c>
      <c r="I19" s="154"/>
      <c r="J19" s="154"/>
      <c r="K19" s="154"/>
      <c r="L19" s="169"/>
      <c r="M19" s="151">
        <f t="shared" ref="M19:P19" si="7">SUM(M4:M18)</f>
        <v>180.28500000000003</v>
      </c>
      <c r="N19" s="151">
        <f t="shared" si="7"/>
        <v>84.63000000000001</v>
      </c>
      <c r="O19" s="151">
        <f t="shared" si="7"/>
        <v>42.6</v>
      </c>
      <c r="P19" s="151">
        <f t="shared" si="7"/>
        <v>26.05</v>
      </c>
      <c r="Q19" s="151" t="s">
        <v>112</v>
      </c>
      <c r="R19" s="151">
        <v>301.09300000000002</v>
      </c>
      <c r="S19" s="151">
        <v>26.925000000000001</v>
      </c>
      <c r="T19" s="151">
        <v>6.1689999999999996</v>
      </c>
      <c r="U19" s="151">
        <v>3.14</v>
      </c>
      <c r="V19" s="151" t="s">
        <v>112</v>
      </c>
      <c r="W19" s="151">
        <f t="shared" ref="W19:X19" si="8">SUM(W4:W18)</f>
        <v>0</v>
      </c>
      <c r="X19" s="151">
        <f t="shared" si="8"/>
        <v>0</v>
      </c>
      <c r="Y19" s="151">
        <f>SUM(Y4:Y18)</f>
        <v>333.55000000000007</v>
      </c>
      <c r="Z19" s="151" t="s">
        <v>112</v>
      </c>
      <c r="AA19" s="151">
        <f t="shared" ref="AA19:AB19" si="9">SUM(AA4:AA18)</f>
        <v>893.62</v>
      </c>
      <c r="AB19" s="151">
        <f t="shared" si="9"/>
        <v>1095.6100000000001</v>
      </c>
      <c r="AC19" s="151" t="s">
        <v>112</v>
      </c>
      <c r="AD19" s="151">
        <f>SUM(AD4:AD18)</f>
        <v>852.56999999999994</v>
      </c>
      <c r="AE19" s="151" t="s">
        <v>112</v>
      </c>
      <c r="AF19" s="151">
        <f>SUM(AF4:AF18)</f>
        <v>121.98</v>
      </c>
      <c r="AG19" s="151" t="s">
        <v>112</v>
      </c>
      <c r="AH19" s="151">
        <f>SUM(AH4:AH18)</f>
        <v>803.14</v>
      </c>
      <c r="AI19" s="149" t="s">
        <v>112</v>
      </c>
      <c r="AK19" s="80"/>
      <c r="AL19" s="3">
        <f>SUM(AL4:AL18)/H19</f>
        <v>266.32801650026084</v>
      </c>
      <c r="AM19" s="28">
        <f>SUM(AM4:AM18)</f>
        <v>214.14000000000001</v>
      </c>
      <c r="AN19" s="28">
        <f>SUM(AN4:AN18)</f>
        <v>214.12500000000003</v>
      </c>
    </row>
    <row r="20" spans="1:45" ht="23.25">
      <c r="A20" s="23"/>
      <c r="B20" s="23"/>
      <c r="C20" s="23"/>
      <c r="D20" s="23"/>
      <c r="E20" s="23"/>
      <c r="F20" s="205" t="s">
        <v>113</v>
      </c>
      <c r="G20" s="205"/>
      <c r="H20" s="154"/>
      <c r="I20" s="154"/>
      <c r="J20" s="154"/>
      <c r="K20" s="154"/>
      <c r="L20" s="154"/>
      <c r="M20" s="155" t="s">
        <v>112</v>
      </c>
      <c r="N20" s="155" t="s">
        <v>112</v>
      </c>
      <c r="O20" s="155" t="s">
        <v>112</v>
      </c>
      <c r="P20" s="155" t="s">
        <v>112</v>
      </c>
      <c r="Q20" s="14">
        <v>3.01</v>
      </c>
      <c r="R20" s="155" t="s">
        <v>112</v>
      </c>
      <c r="S20" s="155" t="s">
        <v>112</v>
      </c>
      <c r="T20" s="155" t="s">
        <v>112</v>
      </c>
      <c r="U20" s="155" t="s">
        <v>112</v>
      </c>
      <c r="V20" s="155">
        <f>SUMPRODUCT(V4:V18,H4:H18)/H19</f>
        <v>5.7799416195512974</v>
      </c>
      <c r="W20" s="155" t="s">
        <v>112</v>
      </c>
      <c r="X20" s="155" t="s">
        <v>112</v>
      </c>
      <c r="Y20" s="155" t="s">
        <v>112</v>
      </c>
      <c r="Z20" s="155">
        <f>SUMPRODUCT(Z4:Z18,H4:H18)/H19</f>
        <v>1.2830673877057348</v>
      </c>
      <c r="AA20" s="155" t="s">
        <v>112</v>
      </c>
      <c r="AB20" s="155" t="s">
        <v>112</v>
      </c>
      <c r="AC20" s="155">
        <f>SUMPRODUCT(AC4:AC18,H4:H18)/H19</f>
        <v>0.12208761629207014</v>
      </c>
      <c r="AD20" s="155" t="s">
        <v>112</v>
      </c>
      <c r="AE20" s="155">
        <f>SUMPRODUCT(AE4:AE18,H4:H18)/H19</f>
        <v>7.2212036811987998E-2</v>
      </c>
      <c r="AF20" s="155" t="s">
        <v>112</v>
      </c>
      <c r="AG20" s="155">
        <f>SUMPRODUCT(AG4:AG18,H4:H18)/H19</f>
        <v>1.033161450322196E-2</v>
      </c>
      <c r="AH20" s="155" t="s">
        <v>112</v>
      </c>
      <c r="AI20" s="166">
        <f>SUMPRODUCT(AO4:AO18,H4:H18)/H19</f>
        <v>0</v>
      </c>
      <c r="AK20" s="80"/>
      <c r="AM20" s="1">
        <f>((AM19-H19)/H19)*100</f>
        <v>-36.518759189868604</v>
      </c>
      <c r="AN20" s="1">
        <f>((AN19-H19)/H19)*100</f>
        <v>-36.523205900488534</v>
      </c>
    </row>
    <row r="21" spans="1:45" ht="15">
      <c r="AE21" s="21"/>
      <c r="AF21" s="22"/>
    </row>
    <row r="22" spans="1:45" ht="15">
      <c r="AE22" s="19"/>
      <c r="AF22" s="20"/>
    </row>
    <row r="23" spans="1:45" ht="15">
      <c r="AE23" s="19"/>
      <c r="AF23" s="20"/>
    </row>
    <row r="24" spans="1:45" ht="15">
      <c r="AE24" s="19"/>
      <c r="AF24" s="20"/>
    </row>
    <row r="25" spans="1:45" ht="15">
      <c r="AE25" s="19"/>
      <c r="AF25" s="20"/>
    </row>
    <row r="26" spans="1:45" ht="15">
      <c r="AE26" s="19"/>
      <c r="AF26" s="20"/>
    </row>
    <row r="27" spans="1:45" ht="15">
      <c r="AE27" s="19"/>
      <c r="AF27" s="20"/>
    </row>
    <row r="28" spans="1:45" ht="15">
      <c r="R28" s="145"/>
      <c r="AE28" s="19"/>
      <c r="AF28" s="20"/>
    </row>
    <row r="29" spans="1:45" ht="15">
      <c r="AE29" s="19"/>
      <c r="AF29" s="20"/>
    </row>
    <row r="30" spans="1:45" ht="15">
      <c r="AE30" s="19"/>
      <c r="AF30" s="20"/>
    </row>
    <row r="31" spans="1:45" ht="15">
      <c r="AE31" s="19"/>
      <c r="AF31" s="20"/>
    </row>
    <row r="32" spans="1:45" ht="15">
      <c r="AE32" s="19"/>
      <c r="AF32" s="20"/>
    </row>
    <row r="33" spans="31:32" ht="15">
      <c r="AE33" s="19"/>
      <c r="AF33" s="20"/>
    </row>
    <row r="34" spans="31:32" ht="15">
      <c r="AE34" s="19"/>
      <c r="AF34" s="20"/>
    </row>
    <row r="35" spans="31:32">
      <c r="AE35" s="19"/>
      <c r="AF35" s="19"/>
    </row>
    <row r="36" spans="31:32">
      <c r="AE36" s="19"/>
      <c r="AF36" s="19"/>
    </row>
    <row r="37" spans="31:32">
      <c r="AE37" s="19"/>
      <c r="AF37" s="19"/>
    </row>
    <row r="38" spans="31:32">
      <c r="AE38" s="19"/>
      <c r="AF38" s="19"/>
    </row>
  </sheetData>
  <mergeCells count="30"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F2:F3"/>
    <mergeCell ref="F19:G19"/>
    <mergeCell ref="F20:G20"/>
    <mergeCell ref="A1:E1"/>
    <mergeCell ref="AG2:AG3"/>
    <mergeCell ref="Q2:Q3"/>
    <mergeCell ref="R2:U2"/>
    <mergeCell ref="V2:V3"/>
    <mergeCell ref="W2:Y2"/>
    <mergeCell ref="A2:A3"/>
    <mergeCell ref="B2:B3"/>
    <mergeCell ref="C2:C3"/>
    <mergeCell ref="D2:D3"/>
    <mergeCell ref="E2:E3"/>
  </mergeCells>
  <printOptions horizontalCentered="1"/>
  <pageMargins left="0.66666666666666663" right="0.25" top="0.75" bottom="0.75" header="0.3" footer="0.3"/>
  <pageSetup paperSize="8" scale="38" fitToHeight="0" orientation="landscape" r:id="rId1"/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0"/>
  <sheetViews>
    <sheetView view="pageLayout" zoomScale="55" zoomScaleNormal="70" zoomScaleSheetLayoutView="70" zoomScalePageLayoutView="55" workbookViewId="0">
      <selection activeCell="P90" sqref="P90"/>
    </sheetView>
  </sheetViews>
  <sheetFormatPr defaultRowHeight="14.25"/>
  <cols>
    <col min="1" max="1" width="28.375" customWidth="1"/>
    <col min="5" max="5" width="48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0" customWidth="1"/>
    <col min="35" max="35" width="9" customWidth="1"/>
    <col min="36" max="36" width="11" bestFit="1" customWidth="1"/>
    <col min="37" max="37" width="9.125" bestFit="1" customWidth="1"/>
    <col min="38" max="38" width="12.625" bestFit="1" customWidth="1"/>
    <col min="39" max="39" width="9.125" bestFit="1" customWidth="1"/>
  </cols>
  <sheetData>
    <row r="1" spans="1:45" s="1" customFormat="1" ht="23.25">
      <c r="A1" s="192" t="s">
        <v>223</v>
      </c>
      <c r="B1" s="192"/>
      <c r="C1" s="192"/>
      <c r="D1" s="192"/>
      <c r="E1" s="19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80"/>
    </row>
    <row r="2" spans="1:45" s="1" customFormat="1" ht="22.5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244</v>
      </c>
      <c r="AB2" s="202" t="s">
        <v>245</v>
      </c>
      <c r="AC2" s="203" t="s">
        <v>246</v>
      </c>
      <c r="AD2" s="175" t="s">
        <v>247</v>
      </c>
      <c r="AE2" s="183" t="s">
        <v>248</v>
      </c>
      <c r="AF2" s="175" t="s">
        <v>249</v>
      </c>
      <c r="AG2" s="203" t="s">
        <v>250</v>
      </c>
      <c r="AH2" s="175" t="s">
        <v>251</v>
      </c>
      <c r="AI2" s="175" t="s">
        <v>252</v>
      </c>
      <c r="AK2" s="80"/>
    </row>
    <row r="3" spans="1:45" s="1" customFormat="1" ht="41.2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</row>
    <row r="4" spans="1:45" s="49" customFormat="1" ht="23.25" hidden="1">
      <c r="A4" s="51" t="s">
        <v>72</v>
      </c>
      <c r="B4" s="51">
        <v>426</v>
      </c>
      <c r="C4" s="37">
        <v>363</v>
      </c>
      <c r="D4" s="51">
        <v>100</v>
      </c>
      <c r="E4" s="51" t="s">
        <v>129</v>
      </c>
      <c r="F4" s="38" t="s">
        <v>99</v>
      </c>
      <c r="G4" s="38" t="s">
        <v>130</v>
      </c>
      <c r="H4" s="39">
        <v>3.74</v>
      </c>
      <c r="I4" s="40">
        <v>4</v>
      </c>
      <c r="J4" s="51" t="s">
        <v>227</v>
      </c>
      <c r="K4" s="52">
        <v>42233</v>
      </c>
      <c r="L4" s="41" t="s">
        <v>114</v>
      </c>
      <c r="M4" s="42">
        <v>0.27500000000000002</v>
      </c>
      <c r="N4" s="42">
        <v>0.625</v>
      </c>
      <c r="O4" s="42">
        <v>2.2000000000000002</v>
      </c>
      <c r="P4" s="42">
        <v>0.67500000000000004</v>
      </c>
      <c r="Q4" s="42">
        <v>4.1719999999999997</v>
      </c>
      <c r="R4" s="42">
        <v>3.7749999999999999</v>
      </c>
      <c r="S4" s="42">
        <v>0</v>
      </c>
      <c r="T4" s="42">
        <v>0</v>
      </c>
      <c r="U4" s="42">
        <v>0</v>
      </c>
      <c r="V4" s="42">
        <v>3.7770000000000001</v>
      </c>
      <c r="W4" s="42"/>
      <c r="X4" s="42"/>
      <c r="Y4" s="42"/>
      <c r="Z4" s="42">
        <v>1.048</v>
      </c>
      <c r="AA4" s="42"/>
      <c r="AB4" s="42"/>
      <c r="AC4" s="42">
        <f>(AA4+AB4*0.5)/(3.5*H4*1000)*100</f>
        <v>0</v>
      </c>
      <c r="AD4" s="42"/>
      <c r="AE4" s="42">
        <f>AD4/(3.5*H4*1000)*100</f>
        <v>0</v>
      </c>
      <c r="AF4" s="42"/>
      <c r="AG4" s="42"/>
      <c r="AH4" s="42"/>
      <c r="AI4" s="42"/>
      <c r="AJ4" s="18"/>
      <c r="AK4" s="18"/>
      <c r="AL4" s="18"/>
      <c r="AM4" s="18"/>
      <c r="AN4" s="53"/>
      <c r="AP4" s="43"/>
      <c r="AQ4" s="43"/>
      <c r="AR4" s="43"/>
      <c r="AS4" s="43"/>
    </row>
    <row r="5" spans="1:45" s="49" customFormat="1" ht="23.25" hidden="1">
      <c r="A5" s="51" t="s">
        <v>72</v>
      </c>
      <c r="B5" s="51">
        <v>426</v>
      </c>
      <c r="C5" s="37">
        <v>363</v>
      </c>
      <c r="D5" s="51">
        <v>100</v>
      </c>
      <c r="E5" s="51" t="s">
        <v>129</v>
      </c>
      <c r="F5" s="38" t="s">
        <v>130</v>
      </c>
      <c r="G5" s="38" t="s">
        <v>131</v>
      </c>
      <c r="H5" s="39">
        <v>4.2089999999999996</v>
      </c>
      <c r="I5" s="40">
        <v>4</v>
      </c>
      <c r="J5" s="51" t="s">
        <v>226</v>
      </c>
      <c r="K5" s="52">
        <v>42233</v>
      </c>
      <c r="L5" s="41" t="s">
        <v>114</v>
      </c>
      <c r="M5" s="42">
        <v>2.5000000000000001E-2</v>
      </c>
      <c r="N5" s="42">
        <v>1.075</v>
      </c>
      <c r="O5" s="42">
        <v>2.35</v>
      </c>
      <c r="P5" s="42">
        <v>0.72499999999999998</v>
      </c>
      <c r="Q5" s="42">
        <v>4.2519999999999998</v>
      </c>
      <c r="R5" s="42">
        <v>4.125</v>
      </c>
      <c r="S5" s="42">
        <v>2.5000000000000001E-2</v>
      </c>
      <c r="T5" s="42">
        <v>2.5000000000000001E-2</v>
      </c>
      <c r="U5" s="42">
        <v>0</v>
      </c>
      <c r="V5" s="42">
        <v>3.8809999999999998</v>
      </c>
      <c r="W5" s="42"/>
      <c r="X5" s="42"/>
      <c r="Y5" s="42"/>
      <c r="Z5" s="42">
        <v>1.0660000000000001</v>
      </c>
      <c r="AA5" s="42"/>
      <c r="AB5" s="42"/>
      <c r="AC5" s="42"/>
      <c r="AD5" s="42"/>
      <c r="AE5" s="42"/>
      <c r="AF5" s="42"/>
      <c r="AG5" s="42"/>
      <c r="AH5" s="42"/>
      <c r="AI5" s="42"/>
      <c r="AJ5" s="18"/>
      <c r="AK5" s="18"/>
      <c r="AL5" s="18"/>
      <c r="AM5" s="18"/>
      <c r="AN5" s="53"/>
      <c r="AP5" s="43"/>
      <c r="AQ5" s="43"/>
      <c r="AR5" s="43"/>
      <c r="AS5" s="43"/>
    </row>
    <row r="6" spans="1:45" s="49" customFormat="1" ht="23.25" hidden="1">
      <c r="A6" s="51" t="s">
        <v>72</v>
      </c>
      <c r="B6" s="51">
        <v>426</v>
      </c>
      <c r="C6" s="37">
        <v>363</v>
      </c>
      <c r="D6" s="51">
        <v>100</v>
      </c>
      <c r="E6" s="51" t="s">
        <v>129</v>
      </c>
      <c r="F6" s="38" t="s">
        <v>130</v>
      </c>
      <c r="G6" s="38" t="s">
        <v>99</v>
      </c>
      <c r="H6" s="39">
        <v>3.74</v>
      </c>
      <c r="I6" s="40">
        <v>4</v>
      </c>
      <c r="J6" s="51" t="s">
        <v>95</v>
      </c>
      <c r="K6" s="52">
        <v>42233</v>
      </c>
      <c r="L6" s="41" t="s">
        <v>114</v>
      </c>
      <c r="M6" s="42">
        <v>0.375</v>
      </c>
      <c r="N6" s="42">
        <v>1.7250000000000001</v>
      </c>
      <c r="O6" s="42">
        <v>1.25</v>
      </c>
      <c r="P6" s="42">
        <v>0.35</v>
      </c>
      <c r="Q6" s="42">
        <v>3.5680000000000001</v>
      </c>
      <c r="R6" s="42">
        <v>3.7</v>
      </c>
      <c r="S6" s="42">
        <v>0</v>
      </c>
      <c r="T6" s="42">
        <v>0</v>
      </c>
      <c r="U6" s="42">
        <v>0</v>
      </c>
      <c r="V6" s="42">
        <v>3.91</v>
      </c>
      <c r="W6" s="42"/>
      <c r="X6" s="42"/>
      <c r="Y6" s="42"/>
      <c r="Z6" s="42">
        <v>1.1160000000000001</v>
      </c>
      <c r="AA6" s="42"/>
      <c r="AB6" s="42"/>
      <c r="AC6" s="42"/>
      <c r="AD6" s="42"/>
      <c r="AE6" s="42"/>
      <c r="AF6" s="42"/>
      <c r="AG6" s="42"/>
      <c r="AH6" s="42"/>
      <c r="AI6" s="42"/>
      <c r="AJ6" s="18"/>
      <c r="AK6" s="18"/>
      <c r="AL6" s="18"/>
      <c r="AM6" s="18"/>
      <c r="AN6" s="53"/>
      <c r="AP6" s="43"/>
      <c r="AQ6" s="43"/>
      <c r="AR6" s="43"/>
      <c r="AS6" s="43"/>
    </row>
    <row r="7" spans="1:45" s="49" customFormat="1" ht="23.25" hidden="1">
      <c r="A7" s="51" t="s">
        <v>72</v>
      </c>
      <c r="B7" s="51">
        <v>426</v>
      </c>
      <c r="C7" s="37">
        <v>363</v>
      </c>
      <c r="D7" s="51">
        <v>100</v>
      </c>
      <c r="E7" s="51" t="s">
        <v>129</v>
      </c>
      <c r="F7" s="38" t="s">
        <v>131</v>
      </c>
      <c r="G7" s="38" t="s">
        <v>130</v>
      </c>
      <c r="H7" s="39">
        <v>4.2089999999999996</v>
      </c>
      <c r="I7" s="40">
        <v>4</v>
      </c>
      <c r="J7" s="51" t="s">
        <v>94</v>
      </c>
      <c r="K7" s="52">
        <v>42233</v>
      </c>
      <c r="L7" s="41" t="s">
        <v>114</v>
      </c>
      <c r="M7" s="42">
        <v>2.5000000000000001E-2</v>
      </c>
      <c r="N7" s="42">
        <v>0.35</v>
      </c>
      <c r="O7" s="42">
        <v>2.625</v>
      </c>
      <c r="P7" s="42">
        <v>1.2250000000000001</v>
      </c>
      <c r="Q7" s="42">
        <v>4.609</v>
      </c>
      <c r="R7" s="42">
        <v>4.1749999999999998</v>
      </c>
      <c r="S7" s="42">
        <v>2.5000000000000001E-2</v>
      </c>
      <c r="T7" s="42">
        <v>0</v>
      </c>
      <c r="U7" s="42">
        <v>2.5000000000000001E-2</v>
      </c>
      <c r="V7" s="42">
        <v>4.548</v>
      </c>
      <c r="W7" s="42"/>
      <c r="X7" s="42"/>
      <c r="Y7" s="42"/>
      <c r="Z7" s="42">
        <v>1.151</v>
      </c>
      <c r="AA7" s="42"/>
      <c r="AB7" s="42"/>
      <c r="AC7" s="42"/>
      <c r="AD7" s="42"/>
      <c r="AE7" s="42"/>
      <c r="AF7" s="42"/>
      <c r="AG7" s="42"/>
      <c r="AH7" s="42"/>
      <c r="AI7" s="42"/>
      <c r="AJ7" s="18"/>
      <c r="AK7" s="18"/>
      <c r="AL7" s="18"/>
      <c r="AM7" s="18"/>
      <c r="AN7" s="53"/>
      <c r="AP7" s="43"/>
      <c r="AQ7" s="43"/>
      <c r="AR7" s="43"/>
      <c r="AS7" s="43"/>
    </row>
    <row r="8" spans="1:45" s="33" customFormat="1" ht="23.25">
      <c r="A8" s="35" t="s">
        <v>72</v>
      </c>
      <c r="B8" s="35">
        <v>426</v>
      </c>
      <c r="C8" s="25">
        <v>364</v>
      </c>
      <c r="D8" s="35">
        <v>100</v>
      </c>
      <c r="E8" s="35" t="s">
        <v>73</v>
      </c>
      <c r="F8" s="36">
        <v>0</v>
      </c>
      <c r="G8" s="36">
        <v>3909</v>
      </c>
      <c r="H8" s="44">
        <v>3.9089999999999998</v>
      </c>
      <c r="I8" s="34">
        <v>4</v>
      </c>
      <c r="J8" s="35" t="s">
        <v>226</v>
      </c>
      <c r="K8" s="12">
        <v>42233</v>
      </c>
      <c r="L8" s="13" t="s">
        <v>114</v>
      </c>
      <c r="M8" s="99">
        <v>2.1749999999999998</v>
      </c>
      <c r="N8" s="99">
        <v>1.0249999999999999</v>
      </c>
      <c r="O8" s="99">
        <v>0.42499999999999999</v>
      </c>
      <c r="P8" s="99">
        <v>0.27500000000000002</v>
      </c>
      <c r="Q8" s="99">
        <v>2.7354500000000002</v>
      </c>
      <c r="R8" s="99">
        <v>3.4750000000000001</v>
      </c>
      <c r="S8" s="99">
        <v>0.27500000000000002</v>
      </c>
      <c r="T8" s="99">
        <v>0.1</v>
      </c>
      <c r="U8" s="99">
        <v>0.05</v>
      </c>
      <c r="V8" s="99">
        <v>4.9311699999999998</v>
      </c>
      <c r="W8" s="99">
        <v>0</v>
      </c>
      <c r="X8" s="99">
        <v>0</v>
      </c>
      <c r="Y8" s="99">
        <f t="shared" ref="Y8:Y21" si="0">SUM(R8:U8)</f>
        <v>3.9</v>
      </c>
      <c r="Z8" s="99">
        <v>1.1330499999999999</v>
      </c>
      <c r="AA8" s="99">
        <v>6.73</v>
      </c>
      <c r="AB8" s="99">
        <v>4.07</v>
      </c>
      <c r="AC8" s="99">
        <v>6.4060000000000006E-2</v>
      </c>
      <c r="AD8" s="99">
        <v>88.27</v>
      </c>
      <c r="AE8" s="99">
        <v>0.64517999999999998</v>
      </c>
      <c r="AF8" s="99">
        <v>25</v>
      </c>
      <c r="AG8" s="99">
        <v>0.182729</v>
      </c>
      <c r="AH8" s="99">
        <v>92.97</v>
      </c>
      <c r="AI8" s="99">
        <v>0.67952999999999997</v>
      </c>
      <c r="AJ8" s="3"/>
      <c r="AK8" s="3">
        <f>AB8*0.5</f>
        <v>2.0350000000000001</v>
      </c>
      <c r="AL8" s="3">
        <f>(AA8+AD8+AF8+AH8+AK8)*H8</f>
        <v>840.45454499999994</v>
      </c>
      <c r="AM8" s="18">
        <f>SUM(M8:P8)</f>
        <v>3.8999999999999995</v>
      </c>
      <c r="AN8" s="28">
        <f>SUM(R8:U8)</f>
        <v>3.9</v>
      </c>
      <c r="AP8" s="5"/>
      <c r="AQ8" s="5"/>
      <c r="AR8" s="5"/>
      <c r="AS8" s="5"/>
    </row>
    <row r="9" spans="1:45" s="6" customFormat="1" ht="23.25">
      <c r="A9" s="8" t="s">
        <v>72</v>
      </c>
      <c r="B9" s="8">
        <v>426</v>
      </c>
      <c r="C9" s="25">
        <v>364</v>
      </c>
      <c r="D9" s="8">
        <v>100</v>
      </c>
      <c r="E9" s="8" t="s">
        <v>73</v>
      </c>
      <c r="F9" s="36">
        <v>3909</v>
      </c>
      <c r="G9" s="36">
        <v>0</v>
      </c>
      <c r="H9" s="44">
        <v>3.9089999999999998</v>
      </c>
      <c r="I9" s="34">
        <v>4</v>
      </c>
      <c r="J9" s="8" t="s">
        <v>94</v>
      </c>
      <c r="K9" s="12">
        <v>42233</v>
      </c>
      <c r="L9" s="13" t="s">
        <v>114</v>
      </c>
      <c r="M9" s="99">
        <v>2.0750000000000002</v>
      </c>
      <c r="N9" s="99">
        <v>1.35</v>
      </c>
      <c r="O9" s="99">
        <v>0.32500000000000001</v>
      </c>
      <c r="P9" s="99">
        <v>0.17499999999999999</v>
      </c>
      <c r="Q9" s="99">
        <v>2.6239499999999998</v>
      </c>
      <c r="R9" s="99">
        <v>3.5249999999999999</v>
      </c>
      <c r="S9" s="99">
        <v>0.3</v>
      </c>
      <c r="T9" s="99">
        <v>2.5000000000000001E-2</v>
      </c>
      <c r="U9" s="99">
        <v>7.4999999999999997E-2</v>
      </c>
      <c r="V9" s="99">
        <v>5.1879900000000001</v>
      </c>
      <c r="W9" s="99">
        <v>0</v>
      </c>
      <c r="X9" s="99">
        <v>0</v>
      </c>
      <c r="Y9" s="99">
        <f t="shared" si="0"/>
        <v>3.9249999999999998</v>
      </c>
      <c r="Z9" s="99">
        <v>1.06731</v>
      </c>
      <c r="AA9" s="99">
        <v>29.03</v>
      </c>
      <c r="AB9" s="99">
        <v>15.08</v>
      </c>
      <c r="AC9" s="99">
        <v>0.26729999999999998</v>
      </c>
      <c r="AD9" s="99">
        <v>2074.96</v>
      </c>
      <c r="AE9" s="99">
        <v>15.1662</v>
      </c>
      <c r="AF9" s="99">
        <v>328</v>
      </c>
      <c r="AG9" s="99">
        <v>2.3973979999999999</v>
      </c>
      <c r="AH9" s="99">
        <v>55.71</v>
      </c>
      <c r="AI9" s="99">
        <v>0.40719</v>
      </c>
      <c r="AJ9" s="3"/>
      <c r="AK9" s="3">
        <f t="shared" ref="AK9:AK21" si="1">AB9*0.5</f>
        <v>7.54</v>
      </c>
      <c r="AL9" s="3">
        <f>(AA9+AD9+AF9+AH9+AK9)*H9</f>
        <v>9753.8931599999996</v>
      </c>
      <c r="AM9" s="18">
        <f t="shared" ref="AM9:AM19" si="2">SUM(M9:P9)</f>
        <v>3.9250000000000003</v>
      </c>
      <c r="AN9" s="28">
        <f t="shared" ref="AN9:AN19" si="3">SUM(R9:U9)</f>
        <v>3.9249999999999998</v>
      </c>
      <c r="AO9" s="28"/>
      <c r="AP9" s="5"/>
      <c r="AQ9" s="5"/>
      <c r="AR9" s="5"/>
      <c r="AS9" s="5"/>
    </row>
    <row r="10" spans="1:45" s="81" customFormat="1" ht="23.25">
      <c r="A10" s="82" t="s">
        <v>72</v>
      </c>
      <c r="B10" s="82">
        <v>426</v>
      </c>
      <c r="C10" s="25">
        <v>3139</v>
      </c>
      <c r="D10" s="82">
        <v>100</v>
      </c>
      <c r="E10" s="82" t="s">
        <v>74</v>
      </c>
      <c r="F10" s="36">
        <v>0</v>
      </c>
      <c r="G10" s="36">
        <v>21234</v>
      </c>
      <c r="H10" s="44">
        <v>21.234000000000002</v>
      </c>
      <c r="I10" s="34">
        <v>2</v>
      </c>
      <c r="J10" s="82" t="s">
        <v>227</v>
      </c>
      <c r="K10" s="83">
        <v>42233</v>
      </c>
      <c r="L10" s="13" t="s">
        <v>114</v>
      </c>
      <c r="M10" s="99">
        <v>17.3</v>
      </c>
      <c r="N10" s="99">
        <v>2.875</v>
      </c>
      <c r="O10" s="99">
        <v>0.82499999999999996</v>
      </c>
      <c r="P10" s="99">
        <v>0.2</v>
      </c>
      <c r="Q10" s="99">
        <v>2.0503300000000002</v>
      </c>
      <c r="R10" s="99">
        <v>20.875</v>
      </c>
      <c r="S10" s="99">
        <v>0.32500000000000001</v>
      </c>
      <c r="T10" s="99">
        <v>0</v>
      </c>
      <c r="U10" s="99">
        <v>0</v>
      </c>
      <c r="V10" s="99">
        <v>4.5953099999999996</v>
      </c>
      <c r="W10" s="99">
        <v>0</v>
      </c>
      <c r="X10" s="99">
        <v>0</v>
      </c>
      <c r="Y10" s="99">
        <f t="shared" si="0"/>
        <v>21.2</v>
      </c>
      <c r="Z10" s="99">
        <v>1.33389</v>
      </c>
      <c r="AA10" s="99">
        <v>1434.24</v>
      </c>
      <c r="AB10" s="99">
        <v>21.78</v>
      </c>
      <c r="AC10" s="99">
        <v>1.9444999999999999</v>
      </c>
      <c r="AD10" s="99">
        <v>5071.63</v>
      </c>
      <c r="AE10" s="99">
        <v>6.8241399999999999</v>
      </c>
      <c r="AF10" s="99">
        <v>6619</v>
      </c>
      <c r="AG10" s="99">
        <v>8.9062020000000004</v>
      </c>
      <c r="AH10" s="99">
        <v>414.59</v>
      </c>
      <c r="AI10" s="99">
        <v>0.55784999999999996</v>
      </c>
      <c r="AJ10" s="3"/>
      <c r="AK10" s="3">
        <f t="shared" si="1"/>
        <v>10.89</v>
      </c>
      <c r="AL10" s="3">
        <f>(AA10+AD10+AF10+AH10+AK10)*H10</f>
        <v>287728.13189999998</v>
      </c>
      <c r="AM10" s="3">
        <f t="shared" si="2"/>
        <v>21.2</v>
      </c>
      <c r="AN10" s="29">
        <f t="shared" si="3"/>
        <v>21.2</v>
      </c>
      <c r="AO10" s="4"/>
      <c r="AP10" s="5"/>
      <c r="AQ10" s="5"/>
      <c r="AR10" s="5"/>
      <c r="AS10" s="5"/>
    </row>
    <row r="11" spans="1:45" s="81" customFormat="1" ht="23.25">
      <c r="A11" s="82" t="s">
        <v>72</v>
      </c>
      <c r="B11" s="82">
        <v>426</v>
      </c>
      <c r="C11" s="25">
        <v>3143</v>
      </c>
      <c r="D11" s="82">
        <v>100</v>
      </c>
      <c r="E11" s="82" t="s">
        <v>75</v>
      </c>
      <c r="F11" s="36">
        <v>14041</v>
      </c>
      <c r="G11" s="36">
        <v>0</v>
      </c>
      <c r="H11" s="44">
        <v>14.041</v>
      </c>
      <c r="I11" s="34">
        <v>2</v>
      </c>
      <c r="J11" s="82" t="s">
        <v>95</v>
      </c>
      <c r="K11" s="83">
        <v>42233</v>
      </c>
      <c r="L11" s="13" t="s">
        <v>114</v>
      </c>
      <c r="M11" s="99">
        <v>7.8250000000000002</v>
      </c>
      <c r="N11" s="99">
        <v>5.05</v>
      </c>
      <c r="O11" s="99">
        <v>0.85</v>
      </c>
      <c r="P11" s="99">
        <v>0.3</v>
      </c>
      <c r="Q11" s="99">
        <v>2.6439699999999999</v>
      </c>
      <c r="R11" s="99">
        <v>13.2</v>
      </c>
      <c r="S11" s="99">
        <v>0.52500000000000002</v>
      </c>
      <c r="T11" s="99">
        <v>0.25</v>
      </c>
      <c r="U11" s="99">
        <v>0.05</v>
      </c>
      <c r="V11" s="99">
        <v>6.60276</v>
      </c>
      <c r="W11" s="99">
        <v>0</v>
      </c>
      <c r="X11" s="99">
        <v>0</v>
      </c>
      <c r="Y11" s="99">
        <f t="shared" si="0"/>
        <v>14.025</v>
      </c>
      <c r="Z11" s="99">
        <v>1.2765899999999999</v>
      </c>
      <c r="AA11" s="99">
        <v>134.62</v>
      </c>
      <c r="AB11" s="99">
        <v>65.84</v>
      </c>
      <c r="AC11" s="99">
        <v>0.34092</v>
      </c>
      <c r="AD11" s="99">
        <v>109.36</v>
      </c>
      <c r="AE11" s="99">
        <v>0.22253000000000001</v>
      </c>
      <c r="AF11" s="99">
        <v>560</v>
      </c>
      <c r="AG11" s="99">
        <v>1.1395200000000001</v>
      </c>
      <c r="AH11" s="99">
        <v>291.32</v>
      </c>
      <c r="AI11" s="99">
        <v>0.59279000000000004</v>
      </c>
      <c r="AJ11" s="3"/>
      <c r="AK11" s="3">
        <f t="shared" si="1"/>
        <v>32.92</v>
      </c>
      <c r="AL11" s="3">
        <f>(AA11+AD11+AF11+AH11+AK11)*H11</f>
        <v>15841.337020000001</v>
      </c>
      <c r="AM11" s="3">
        <f t="shared" si="2"/>
        <v>14.025</v>
      </c>
      <c r="AN11" s="29">
        <f t="shared" si="3"/>
        <v>14.025</v>
      </c>
      <c r="AO11" s="4"/>
      <c r="AP11" s="5"/>
      <c r="AQ11" s="5"/>
      <c r="AR11" s="5"/>
      <c r="AS11" s="5"/>
    </row>
    <row r="12" spans="1:45" s="81" customFormat="1" ht="23.25">
      <c r="A12" s="82" t="s">
        <v>72</v>
      </c>
      <c r="B12" s="82">
        <v>426</v>
      </c>
      <c r="C12" s="25">
        <v>3145</v>
      </c>
      <c r="D12" s="82">
        <v>101</v>
      </c>
      <c r="E12" s="82" t="s">
        <v>228</v>
      </c>
      <c r="F12" s="36">
        <v>10500</v>
      </c>
      <c r="G12" s="36">
        <v>2575</v>
      </c>
      <c r="H12" s="44">
        <v>7.9249999999999998</v>
      </c>
      <c r="I12" s="34">
        <v>2</v>
      </c>
      <c r="J12" s="82" t="s">
        <v>95</v>
      </c>
      <c r="K12" s="83">
        <v>42233</v>
      </c>
      <c r="L12" s="13" t="s">
        <v>114</v>
      </c>
      <c r="M12" s="99">
        <v>2.9750000000000001</v>
      </c>
      <c r="N12" s="99">
        <v>3.57</v>
      </c>
      <c r="O12" s="99">
        <v>1.1200000000000001</v>
      </c>
      <c r="P12" s="99">
        <v>0.2</v>
      </c>
      <c r="Q12" s="99">
        <v>2.86</v>
      </c>
      <c r="R12" s="99">
        <v>7.75</v>
      </c>
      <c r="S12" s="99">
        <v>0.12</v>
      </c>
      <c r="T12" s="99">
        <v>0</v>
      </c>
      <c r="U12" s="99">
        <v>0</v>
      </c>
      <c r="V12" s="99">
        <v>4.33</v>
      </c>
      <c r="W12" s="99">
        <v>0</v>
      </c>
      <c r="X12" s="99">
        <v>0</v>
      </c>
      <c r="Y12" s="99">
        <f t="shared" si="0"/>
        <v>7.87</v>
      </c>
      <c r="Z12" s="99">
        <v>1.25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3"/>
      <c r="AK12" s="3">
        <f t="shared" si="1"/>
        <v>0</v>
      </c>
      <c r="AL12" s="3">
        <f>(AA12+AD12+AF12+AH12+AK12)*H12</f>
        <v>0</v>
      </c>
      <c r="AM12" s="3">
        <f t="shared" si="2"/>
        <v>7.8650000000000002</v>
      </c>
      <c r="AN12" s="29">
        <f t="shared" si="3"/>
        <v>7.87</v>
      </c>
      <c r="AO12" s="4"/>
      <c r="AP12" s="5"/>
      <c r="AQ12" s="5"/>
      <c r="AR12" s="5"/>
      <c r="AS12" s="5"/>
    </row>
    <row r="13" spans="1:45" s="81" customFormat="1" ht="23.25">
      <c r="A13" s="82" t="s">
        <v>72</v>
      </c>
      <c r="B13" s="82">
        <v>426</v>
      </c>
      <c r="C13" s="25">
        <v>3145</v>
      </c>
      <c r="D13" s="82">
        <v>102</v>
      </c>
      <c r="E13" s="82" t="s">
        <v>229</v>
      </c>
      <c r="F13" s="36">
        <v>27515</v>
      </c>
      <c r="G13" s="36">
        <v>10500</v>
      </c>
      <c r="H13" s="44">
        <v>17.015000000000001</v>
      </c>
      <c r="I13" s="34">
        <v>2</v>
      </c>
      <c r="J13" s="82" t="s">
        <v>95</v>
      </c>
      <c r="K13" s="83">
        <v>42233</v>
      </c>
      <c r="L13" s="13" t="s">
        <v>114</v>
      </c>
      <c r="M13" s="99">
        <v>13.025</v>
      </c>
      <c r="N13" s="99">
        <v>2.65</v>
      </c>
      <c r="O13" s="99">
        <v>0.8</v>
      </c>
      <c r="P13" s="99">
        <v>0.47</v>
      </c>
      <c r="Q13" s="99">
        <v>2.2000000000000002</v>
      </c>
      <c r="R13" s="99">
        <v>15.6</v>
      </c>
      <c r="S13" s="99">
        <v>1.02</v>
      </c>
      <c r="T13" s="99">
        <v>0.22</v>
      </c>
      <c r="U13" s="99">
        <v>0.1</v>
      </c>
      <c r="V13" s="99">
        <v>5.61</v>
      </c>
      <c r="W13" s="99">
        <v>0</v>
      </c>
      <c r="X13" s="99">
        <v>0</v>
      </c>
      <c r="Y13" s="99">
        <f t="shared" si="0"/>
        <v>16.940000000000001</v>
      </c>
      <c r="Z13" s="99">
        <v>1.3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3"/>
      <c r="AK13" s="3"/>
      <c r="AL13" s="3"/>
      <c r="AM13" s="3">
        <f t="shared" si="2"/>
        <v>16.945</v>
      </c>
      <c r="AN13" s="29">
        <f t="shared" si="3"/>
        <v>16.940000000000001</v>
      </c>
      <c r="AO13" s="4"/>
      <c r="AP13" s="5"/>
      <c r="AQ13" s="5"/>
      <c r="AR13" s="5"/>
      <c r="AS13" s="5"/>
    </row>
    <row r="14" spans="1:45" s="81" customFormat="1" ht="23.25">
      <c r="A14" s="82" t="s">
        <v>72</v>
      </c>
      <c r="B14" s="82">
        <v>426</v>
      </c>
      <c r="C14" s="25">
        <v>3191</v>
      </c>
      <c r="D14" s="82">
        <v>102</v>
      </c>
      <c r="E14" s="82" t="s">
        <v>79</v>
      </c>
      <c r="F14" s="36">
        <v>13600</v>
      </c>
      <c r="G14" s="36">
        <v>25545</v>
      </c>
      <c r="H14" s="44">
        <v>11.945</v>
      </c>
      <c r="I14" s="34">
        <v>4</v>
      </c>
      <c r="J14" s="82" t="s">
        <v>226</v>
      </c>
      <c r="K14" s="83">
        <v>42233</v>
      </c>
      <c r="L14" s="13" t="s">
        <v>114</v>
      </c>
      <c r="M14" s="99">
        <v>5.4</v>
      </c>
      <c r="N14" s="99">
        <v>4.1500000000000004</v>
      </c>
      <c r="O14" s="99">
        <v>1.7749999999999999</v>
      </c>
      <c r="P14" s="99">
        <v>0.7</v>
      </c>
      <c r="Q14" s="99">
        <v>2.9723099999999998</v>
      </c>
      <c r="R14" s="99">
        <v>10.199999999999999</v>
      </c>
      <c r="S14" s="99">
        <v>1.65</v>
      </c>
      <c r="T14" s="99">
        <v>0.1</v>
      </c>
      <c r="U14" s="99">
        <v>7.4999999999999997E-2</v>
      </c>
      <c r="V14" s="99">
        <v>6.8276199999999996</v>
      </c>
      <c r="W14" s="99">
        <v>0</v>
      </c>
      <c r="X14" s="99">
        <v>0</v>
      </c>
      <c r="Y14" s="99">
        <f t="shared" si="0"/>
        <v>12.024999999999999</v>
      </c>
      <c r="Z14" s="99">
        <v>1.3114399999999999</v>
      </c>
      <c r="AA14" s="99">
        <v>1243.78</v>
      </c>
      <c r="AB14" s="99">
        <v>40.86</v>
      </c>
      <c r="AC14" s="99">
        <v>3.0238800000000001</v>
      </c>
      <c r="AD14" s="99">
        <v>37.159999999999997</v>
      </c>
      <c r="AE14" s="99">
        <v>8.8880000000000001E-2</v>
      </c>
      <c r="AF14" s="99">
        <v>2253</v>
      </c>
      <c r="AG14" s="99">
        <v>5.3889849999999999</v>
      </c>
      <c r="AH14" s="99">
        <v>207.38</v>
      </c>
      <c r="AI14" s="99">
        <v>0.49603999999999998</v>
      </c>
      <c r="AJ14" s="3"/>
      <c r="AK14" s="3">
        <f t="shared" si="1"/>
        <v>20.43</v>
      </c>
      <c r="AL14" s="3">
        <f>(AA14+AD14+AF14+AH14+AK14)*H14</f>
        <v>44934.103750000002</v>
      </c>
      <c r="AM14" s="3">
        <f t="shared" si="2"/>
        <v>12.025</v>
      </c>
      <c r="AN14" s="29">
        <f t="shared" si="3"/>
        <v>12.024999999999999</v>
      </c>
      <c r="AP14" s="5"/>
      <c r="AQ14" s="5"/>
      <c r="AR14" s="5"/>
      <c r="AS14" s="5"/>
    </row>
    <row r="15" spans="1:45" s="81" customFormat="1" ht="23.25">
      <c r="A15" s="82" t="s">
        <v>72</v>
      </c>
      <c r="B15" s="82">
        <v>426</v>
      </c>
      <c r="C15" s="25">
        <v>3191</v>
      </c>
      <c r="D15" s="82">
        <v>102</v>
      </c>
      <c r="E15" s="82" t="s">
        <v>79</v>
      </c>
      <c r="F15" s="36">
        <v>25545</v>
      </c>
      <c r="G15" s="36">
        <v>13600</v>
      </c>
      <c r="H15" s="44">
        <v>11.945</v>
      </c>
      <c r="I15" s="34">
        <v>4</v>
      </c>
      <c r="J15" s="82" t="s">
        <v>94</v>
      </c>
      <c r="K15" s="83">
        <v>42233</v>
      </c>
      <c r="L15" s="13" t="s">
        <v>114</v>
      </c>
      <c r="M15" s="99">
        <v>5.6749999999999998</v>
      </c>
      <c r="N15" s="99">
        <v>4.0250000000000004</v>
      </c>
      <c r="O15" s="99">
        <v>1.7</v>
      </c>
      <c r="P15" s="99">
        <v>0.6</v>
      </c>
      <c r="Q15" s="99">
        <v>2.8227699999999998</v>
      </c>
      <c r="R15" s="99">
        <v>10.074999999999999</v>
      </c>
      <c r="S15" s="99">
        <v>1.45</v>
      </c>
      <c r="T15" s="99">
        <v>0.4</v>
      </c>
      <c r="U15" s="99">
        <v>7.4999999999999997E-2</v>
      </c>
      <c r="V15" s="99">
        <v>7.3393699999999997</v>
      </c>
      <c r="W15" s="99">
        <v>0</v>
      </c>
      <c r="X15" s="99">
        <v>0</v>
      </c>
      <c r="Y15" s="99">
        <f t="shared" si="0"/>
        <v>11.999999999999998</v>
      </c>
      <c r="Z15" s="99">
        <v>1.28416</v>
      </c>
      <c r="AA15" s="99">
        <v>804.99</v>
      </c>
      <c r="AB15" s="99">
        <v>17.510000000000002</v>
      </c>
      <c r="AC15" s="99">
        <v>1.94641</v>
      </c>
      <c r="AD15" s="99">
        <v>0</v>
      </c>
      <c r="AE15" s="99">
        <v>0</v>
      </c>
      <c r="AF15" s="99">
        <v>2420</v>
      </c>
      <c r="AG15" s="99">
        <v>5.7884349999999998</v>
      </c>
      <c r="AH15" s="99">
        <v>200.75</v>
      </c>
      <c r="AI15" s="99">
        <v>0.48018</v>
      </c>
      <c r="AJ15" s="3"/>
      <c r="AK15" s="3">
        <f t="shared" si="1"/>
        <v>8.7550000000000008</v>
      </c>
      <c r="AL15" s="3">
        <f>(AA15+AD15+AF15+AH15+AK15)*H15</f>
        <v>41025.042775000002</v>
      </c>
      <c r="AM15" s="3">
        <f t="shared" si="2"/>
        <v>11.999999999999998</v>
      </c>
      <c r="AN15" s="29">
        <f t="shared" si="3"/>
        <v>11.999999999999998</v>
      </c>
      <c r="AP15" s="5"/>
      <c r="AQ15" s="5"/>
      <c r="AR15" s="5"/>
      <c r="AS15" s="5"/>
    </row>
    <row r="16" spans="1:45" s="81" customFormat="1" ht="23.25">
      <c r="A16" s="82" t="s">
        <v>72</v>
      </c>
      <c r="B16" s="82">
        <v>426</v>
      </c>
      <c r="C16" s="25">
        <v>3245</v>
      </c>
      <c r="D16" s="82">
        <v>100</v>
      </c>
      <c r="E16" s="82" t="s">
        <v>76</v>
      </c>
      <c r="F16" s="36">
        <v>0</v>
      </c>
      <c r="G16" s="36">
        <v>16800</v>
      </c>
      <c r="H16" s="44">
        <v>16.8</v>
      </c>
      <c r="I16" s="34">
        <v>4</v>
      </c>
      <c r="J16" s="82" t="s">
        <v>226</v>
      </c>
      <c r="K16" s="83">
        <v>42233</v>
      </c>
      <c r="L16" s="13" t="s">
        <v>114</v>
      </c>
      <c r="M16" s="99">
        <v>10.35</v>
      </c>
      <c r="N16" s="99">
        <v>3.4750000000000001</v>
      </c>
      <c r="O16" s="99">
        <v>1.625</v>
      </c>
      <c r="P16" s="99">
        <v>1.4750000000000001</v>
      </c>
      <c r="Q16" s="99">
        <v>2.77867</v>
      </c>
      <c r="R16" s="99">
        <v>11.95</v>
      </c>
      <c r="S16" s="99">
        <v>3.95</v>
      </c>
      <c r="T16" s="99">
        <v>0.85</v>
      </c>
      <c r="U16" s="99">
        <v>0.17499999999999999</v>
      </c>
      <c r="V16" s="99">
        <v>8.8628099999999996</v>
      </c>
      <c r="W16" s="99">
        <v>0</v>
      </c>
      <c r="X16" s="99">
        <v>0</v>
      </c>
      <c r="Y16" s="99">
        <f t="shared" si="0"/>
        <v>16.925000000000001</v>
      </c>
      <c r="Z16" s="99">
        <v>1.25875</v>
      </c>
      <c r="AA16" s="99">
        <v>2295.09</v>
      </c>
      <c r="AB16" s="99">
        <v>52.39</v>
      </c>
      <c r="AC16" s="99">
        <v>3.9477600000000002</v>
      </c>
      <c r="AD16" s="99">
        <v>16403.900000000001</v>
      </c>
      <c r="AE16" s="99">
        <v>27.8978</v>
      </c>
      <c r="AF16" s="99">
        <v>1701</v>
      </c>
      <c r="AG16" s="99">
        <v>2.8928569999999998</v>
      </c>
      <c r="AH16" s="99">
        <v>256.99</v>
      </c>
      <c r="AI16" s="99">
        <v>0.43706</v>
      </c>
      <c r="AJ16" s="3"/>
      <c r="AK16" s="3">
        <f t="shared" si="1"/>
        <v>26.195</v>
      </c>
      <c r="AL16" s="3">
        <f>(AA16+AD16+AF16+AH16+AK16)*H16</f>
        <v>347477.34000000008</v>
      </c>
      <c r="AM16" s="3">
        <f t="shared" si="2"/>
        <v>16.925000000000001</v>
      </c>
      <c r="AN16" s="29">
        <f t="shared" si="3"/>
        <v>16.925000000000001</v>
      </c>
      <c r="AO16" s="4"/>
      <c r="AP16" s="5"/>
      <c r="AQ16" s="5"/>
      <c r="AR16" s="5"/>
      <c r="AS16" s="5"/>
    </row>
    <row r="17" spans="1:45" s="81" customFormat="1" ht="23.25">
      <c r="A17" s="82" t="s">
        <v>72</v>
      </c>
      <c r="B17" s="82">
        <v>426</v>
      </c>
      <c r="C17" s="25">
        <v>3245</v>
      </c>
      <c r="D17" s="82">
        <v>100</v>
      </c>
      <c r="E17" s="82" t="s">
        <v>76</v>
      </c>
      <c r="F17" s="36">
        <v>16800</v>
      </c>
      <c r="G17" s="36">
        <v>0</v>
      </c>
      <c r="H17" s="44">
        <v>16.8</v>
      </c>
      <c r="I17" s="34">
        <v>4</v>
      </c>
      <c r="J17" s="82" t="s">
        <v>94</v>
      </c>
      <c r="K17" s="83">
        <v>42233</v>
      </c>
      <c r="L17" s="13" t="s">
        <v>114</v>
      </c>
      <c r="M17" s="99">
        <v>8.8000000000000007</v>
      </c>
      <c r="N17" s="99">
        <v>4.5999999999999996</v>
      </c>
      <c r="O17" s="99">
        <v>2.0750000000000002</v>
      </c>
      <c r="P17" s="99">
        <v>1.25</v>
      </c>
      <c r="Q17" s="99">
        <v>2.8448000000000002</v>
      </c>
      <c r="R17" s="99">
        <v>11.65</v>
      </c>
      <c r="S17" s="99">
        <v>4.1500000000000004</v>
      </c>
      <c r="T17" s="99">
        <v>0.75</v>
      </c>
      <c r="U17" s="99">
        <v>0.17499999999999999</v>
      </c>
      <c r="V17" s="99">
        <v>8.7875599999999991</v>
      </c>
      <c r="W17" s="99">
        <v>0</v>
      </c>
      <c r="X17" s="99">
        <v>0</v>
      </c>
      <c r="Y17" s="99">
        <f t="shared" si="0"/>
        <v>16.725000000000001</v>
      </c>
      <c r="Z17" s="99">
        <v>1.3169299999999999</v>
      </c>
      <c r="AA17" s="99">
        <v>1739.72</v>
      </c>
      <c r="AB17" s="99">
        <v>54.38</v>
      </c>
      <c r="AC17" s="99">
        <v>3.00495</v>
      </c>
      <c r="AD17" s="99">
        <v>15246.5</v>
      </c>
      <c r="AE17" s="99">
        <v>25.929400000000001</v>
      </c>
      <c r="AF17" s="99">
        <v>2187</v>
      </c>
      <c r="AG17" s="99">
        <v>3.7193879999999999</v>
      </c>
      <c r="AH17" s="99">
        <v>149.94999999999999</v>
      </c>
      <c r="AI17" s="99">
        <v>0.25502000000000002</v>
      </c>
      <c r="AJ17" s="3"/>
      <c r="AK17" s="3">
        <f t="shared" si="1"/>
        <v>27.19</v>
      </c>
      <c r="AL17" s="3">
        <f>(AA17+AD17+AF17+AH17+AK17)*H17</f>
        <v>325086.04800000001</v>
      </c>
      <c r="AM17" s="3">
        <f t="shared" si="2"/>
        <v>16.725000000000001</v>
      </c>
      <c r="AN17" s="29">
        <f t="shared" si="3"/>
        <v>16.725000000000001</v>
      </c>
      <c r="AO17" s="4"/>
      <c r="AP17" s="5"/>
      <c r="AQ17" s="5"/>
      <c r="AR17" s="5"/>
      <c r="AS17" s="5"/>
    </row>
    <row r="18" spans="1:45" s="81" customFormat="1" ht="23.25">
      <c r="A18" s="82" t="s">
        <v>72</v>
      </c>
      <c r="B18" s="82">
        <v>426</v>
      </c>
      <c r="C18" s="25">
        <v>3376</v>
      </c>
      <c r="D18" s="82">
        <v>100</v>
      </c>
      <c r="E18" s="82" t="s">
        <v>77</v>
      </c>
      <c r="F18" s="36">
        <v>1000</v>
      </c>
      <c r="G18" s="36">
        <v>30742</v>
      </c>
      <c r="H18" s="44">
        <v>29.742000000000001</v>
      </c>
      <c r="I18" s="34">
        <v>2</v>
      </c>
      <c r="J18" s="82" t="s">
        <v>227</v>
      </c>
      <c r="K18" s="83">
        <v>42233</v>
      </c>
      <c r="L18" s="13" t="s">
        <v>114</v>
      </c>
      <c r="M18" s="99">
        <v>10.88</v>
      </c>
      <c r="N18" s="99">
        <v>10.73</v>
      </c>
      <c r="O18" s="99">
        <v>5.15</v>
      </c>
      <c r="P18" s="99">
        <v>2.9750000000000001</v>
      </c>
      <c r="Q18" s="99">
        <v>3.7469100000000002</v>
      </c>
      <c r="R18" s="99">
        <v>28.3</v>
      </c>
      <c r="S18" s="99">
        <v>1.175</v>
      </c>
      <c r="T18" s="99">
        <v>0.125</v>
      </c>
      <c r="U18" s="99">
        <v>0.125</v>
      </c>
      <c r="V18" s="99">
        <v>4.3857600000000003</v>
      </c>
      <c r="W18" s="99">
        <v>0</v>
      </c>
      <c r="X18" s="99">
        <v>0</v>
      </c>
      <c r="Y18" s="99">
        <f t="shared" si="0"/>
        <v>29.725000000000001</v>
      </c>
      <c r="Z18" s="99">
        <v>1.27447</v>
      </c>
      <c r="AA18" s="99">
        <v>4270.97</v>
      </c>
      <c r="AB18" s="99">
        <v>71</v>
      </c>
      <c r="AC18" s="99">
        <v>4.1369800000000003</v>
      </c>
      <c r="AD18" s="99">
        <v>4490.18</v>
      </c>
      <c r="AE18" s="99">
        <v>4.3134600000000001</v>
      </c>
      <c r="AF18" s="99">
        <v>854</v>
      </c>
      <c r="AG18" s="99">
        <v>0.82038900000000003</v>
      </c>
      <c r="AH18" s="99">
        <v>1047.8399999999999</v>
      </c>
      <c r="AI18" s="99">
        <v>1.0065999999999999</v>
      </c>
      <c r="AJ18" s="3"/>
      <c r="AK18" s="3">
        <f t="shared" si="1"/>
        <v>35.5</v>
      </c>
      <c r="AL18" s="3">
        <f>(AA18+AD18+AF18+AH18+AK18)*H18</f>
        <v>318194.48958000005</v>
      </c>
      <c r="AM18" s="3">
        <f t="shared" si="2"/>
        <v>29.734999999999999</v>
      </c>
      <c r="AN18" s="29">
        <f t="shared" si="3"/>
        <v>29.725000000000001</v>
      </c>
      <c r="AO18" s="4"/>
      <c r="AP18" s="5"/>
      <c r="AQ18" s="5"/>
      <c r="AR18" s="5"/>
      <c r="AS18" s="5"/>
    </row>
    <row r="19" spans="1:45" s="81" customFormat="1" ht="23.25">
      <c r="A19" s="82" t="s">
        <v>72</v>
      </c>
      <c r="B19" s="82">
        <v>426</v>
      </c>
      <c r="C19" s="25">
        <v>3471</v>
      </c>
      <c r="D19" s="82">
        <v>100</v>
      </c>
      <c r="E19" s="82" t="s">
        <v>230</v>
      </c>
      <c r="F19" s="36">
        <v>0</v>
      </c>
      <c r="G19" s="36">
        <v>30416</v>
      </c>
      <c r="H19" s="44">
        <v>30.416</v>
      </c>
      <c r="I19" s="34">
        <v>2</v>
      </c>
      <c r="J19" s="82" t="s">
        <v>227</v>
      </c>
      <c r="K19" s="83">
        <v>42233</v>
      </c>
      <c r="L19" s="13" t="s">
        <v>114</v>
      </c>
      <c r="M19" s="99">
        <v>17.225000000000001</v>
      </c>
      <c r="N19" s="99">
        <v>9.15</v>
      </c>
      <c r="O19" s="99">
        <v>2.7749999999999999</v>
      </c>
      <c r="P19" s="99">
        <v>1</v>
      </c>
      <c r="Q19" s="99">
        <v>2.6</v>
      </c>
      <c r="R19" s="99">
        <v>28.05</v>
      </c>
      <c r="S19" s="99">
        <v>1.8</v>
      </c>
      <c r="T19" s="99">
        <v>0.27500000000000002</v>
      </c>
      <c r="U19" s="99">
        <v>2.5000000000000001E-2</v>
      </c>
      <c r="V19" s="99">
        <v>5.23</v>
      </c>
      <c r="W19" s="99">
        <v>0</v>
      </c>
      <c r="X19" s="99">
        <v>0</v>
      </c>
      <c r="Y19" s="99">
        <f t="shared" si="0"/>
        <v>30.15</v>
      </c>
      <c r="Z19" s="99">
        <v>1.24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3"/>
      <c r="AK19" s="3"/>
      <c r="AL19" s="3"/>
      <c r="AM19" s="3">
        <f t="shared" si="2"/>
        <v>30.15</v>
      </c>
      <c r="AN19" s="29">
        <f t="shared" si="3"/>
        <v>30.15</v>
      </c>
      <c r="AO19" s="4"/>
      <c r="AP19" s="5"/>
      <c r="AQ19" s="5"/>
      <c r="AR19" s="5"/>
      <c r="AS19" s="5"/>
    </row>
    <row r="20" spans="1:45" s="81" customFormat="1" ht="23.25">
      <c r="A20" s="82" t="s">
        <v>72</v>
      </c>
      <c r="B20" s="82">
        <v>426</v>
      </c>
      <c r="C20" s="25">
        <v>3578</v>
      </c>
      <c r="D20" s="82">
        <v>100</v>
      </c>
      <c r="E20" s="82" t="s">
        <v>132</v>
      </c>
      <c r="F20" s="36">
        <v>0</v>
      </c>
      <c r="G20" s="36">
        <v>6040</v>
      </c>
      <c r="H20" s="44">
        <v>6.04</v>
      </c>
      <c r="I20" s="34">
        <v>2</v>
      </c>
      <c r="J20" s="82" t="s">
        <v>95</v>
      </c>
      <c r="K20" s="141">
        <v>42233</v>
      </c>
      <c r="L20" s="13" t="s">
        <v>114</v>
      </c>
      <c r="M20" s="99">
        <v>3.2749999999999999</v>
      </c>
      <c r="N20" s="99">
        <v>1.7749999999999999</v>
      </c>
      <c r="O20" s="99">
        <v>0.67500000000000004</v>
      </c>
      <c r="P20" s="99">
        <v>0.3</v>
      </c>
      <c r="Q20" s="99">
        <v>2.75</v>
      </c>
      <c r="R20" s="99">
        <v>5.6749999999999998</v>
      </c>
      <c r="S20" s="99">
        <v>0.32500000000000001</v>
      </c>
      <c r="T20" s="99">
        <v>2.5000000000000001E-2</v>
      </c>
      <c r="U20" s="99">
        <v>0</v>
      </c>
      <c r="V20" s="99">
        <v>4.46</v>
      </c>
      <c r="W20" s="99">
        <v>0</v>
      </c>
      <c r="X20" s="99">
        <v>0</v>
      </c>
      <c r="Y20" s="99">
        <f t="shared" si="0"/>
        <v>6.0250000000000004</v>
      </c>
      <c r="Z20" s="99">
        <v>1.36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3"/>
      <c r="AK20" s="3"/>
      <c r="AL20" s="3"/>
      <c r="AM20" s="3"/>
      <c r="AN20" s="29"/>
      <c r="AO20" s="4"/>
      <c r="AP20" s="5"/>
      <c r="AQ20" s="5"/>
      <c r="AR20" s="5"/>
      <c r="AS20" s="5"/>
    </row>
    <row r="21" spans="1:45" s="81" customFormat="1" ht="23.25">
      <c r="A21" s="82" t="s">
        <v>72</v>
      </c>
      <c r="B21" s="82">
        <v>426</v>
      </c>
      <c r="C21" s="25">
        <v>3575</v>
      </c>
      <c r="D21" s="82">
        <v>100</v>
      </c>
      <c r="E21" s="82" t="s">
        <v>78</v>
      </c>
      <c r="F21" s="36" t="s">
        <v>98</v>
      </c>
      <c r="G21" s="36" t="s">
        <v>99</v>
      </c>
      <c r="H21" s="44">
        <v>2.254</v>
      </c>
      <c r="I21" s="34">
        <v>2</v>
      </c>
      <c r="J21" s="82" t="s">
        <v>95</v>
      </c>
      <c r="K21" s="83">
        <v>42233</v>
      </c>
      <c r="L21" s="13" t="s">
        <v>114</v>
      </c>
      <c r="M21" s="147">
        <v>1.4</v>
      </c>
      <c r="N21" s="147">
        <v>0.45</v>
      </c>
      <c r="O21" s="147">
        <v>0.17499999999999999</v>
      </c>
      <c r="P21" s="147">
        <v>2.5000000000000001E-2</v>
      </c>
      <c r="Q21" s="147">
        <v>2.4291900000000002</v>
      </c>
      <c r="R21" s="147">
        <v>2.0499999999999998</v>
      </c>
      <c r="S21" s="147">
        <v>0</v>
      </c>
      <c r="T21" s="147">
        <v>0</v>
      </c>
      <c r="U21" s="147">
        <v>0</v>
      </c>
      <c r="V21" s="147">
        <v>4.0362200000000001</v>
      </c>
      <c r="W21" s="99">
        <v>0</v>
      </c>
      <c r="X21" s="99">
        <v>0</v>
      </c>
      <c r="Y21" s="99">
        <f t="shared" si="0"/>
        <v>2.0499999999999998</v>
      </c>
      <c r="Z21" s="99">
        <v>1.08182</v>
      </c>
      <c r="AA21" s="99">
        <v>0</v>
      </c>
      <c r="AB21" s="99">
        <v>10.42</v>
      </c>
      <c r="AC21" s="99">
        <v>4.5220000000000003E-2</v>
      </c>
      <c r="AD21" s="99">
        <v>0</v>
      </c>
      <c r="AE21" s="99">
        <v>0</v>
      </c>
      <c r="AF21" s="99">
        <v>91</v>
      </c>
      <c r="AG21" s="99">
        <v>0.78979299999999997</v>
      </c>
      <c r="AH21" s="99">
        <v>11.51</v>
      </c>
      <c r="AI21" s="99">
        <v>9.9900000000000003E-2</v>
      </c>
      <c r="AJ21" s="3"/>
      <c r="AK21" s="3">
        <f t="shared" si="1"/>
        <v>5.21</v>
      </c>
      <c r="AL21" s="3">
        <f>(AA21+AD21+AF21+AH21+AK21)*H21</f>
        <v>242.80088000000001</v>
      </c>
      <c r="AM21" s="3">
        <f t="shared" ref="AM21" si="4">SUM(M21:P21)</f>
        <v>2.0499999999999998</v>
      </c>
      <c r="AN21" s="29">
        <f t="shared" ref="AN21" si="5">SUM(R21:U21)</f>
        <v>2.0499999999999998</v>
      </c>
      <c r="AP21" s="5"/>
      <c r="AQ21" s="5"/>
      <c r="AR21" s="5"/>
      <c r="AS21" s="5"/>
    </row>
    <row r="22" spans="1:45" s="81" customFormat="1" ht="23.25">
      <c r="A22" s="24"/>
      <c r="B22" s="24"/>
      <c r="C22" s="24"/>
      <c r="D22" s="24"/>
      <c r="E22" s="24"/>
      <c r="F22" s="197" t="s">
        <v>111</v>
      </c>
      <c r="G22" s="197"/>
      <c r="H22" s="149">
        <f>SUBTOTAL(9,H8:H21)</f>
        <v>193.97499999999997</v>
      </c>
      <c r="I22" s="150"/>
      <c r="J22" s="150"/>
      <c r="K22" s="150"/>
      <c r="L22" s="169"/>
      <c r="M22" s="151">
        <f>SUM(M8:M21)</f>
        <v>108.38</v>
      </c>
      <c r="N22" s="151">
        <f t="shared" ref="N22:P22" si="6">SUM(N8:N21)</f>
        <v>54.875</v>
      </c>
      <c r="O22" s="151">
        <f t="shared" si="6"/>
        <v>20.295000000000002</v>
      </c>
      <c r="P22" s="151">
        <f t="shared" si="6"/>
        <v>9.9450000000000003</v>
      </c>
      <c r="Q22" s="151" t="s">
        <v>112</v>
      </c>
      <c r="R22" s="151">
        <v>172.38</v>
      </c>
      <c r="S22" s="151">
        <v>17.07</v>
      </c>
      <c r="T22" s="151">
        <v>3.12</v>
      </c>
      <c r="U22" s="151">
        <v>0.93</v>
      </c>
      <c r="V22" s="151" t="s">
        <v>112</v>
      </c>
      <c r="W22" s="151">
        <f>SUM(W8:W21)</f>
        <v>0</v>
      </c>
      <c r="X22" s="151">
        <f>SUM(X8:X21)</f>
        <v>0</v>
      </c>
      <c r="Y22" s="151">
        <f>SUM(Y8:Y21)</f>
        <v>193.48500000000001</v>
      </c>
      <c r="Z22" s="151" t="s">
        <v>112</v>
      </c>
      <c r="AA22" s="151">
        <f>SUM(AA4:AA21)</f>
        <v>11959.17</v>
      </c>
      <c r="AB22" s="151">
        <f>SUM(AB4:AB21)</f>
        <v>353.33</v>
      </c>
      <c r="AC22" s="151" t="s">
        <v>112</v>
      </c>
      <c r="AD22" s="151">
        <f>SUM(AD4:AD21)</f>
        <v>43521.96</v>
      </c>
      <c r="AE22" s="151" t="s">
        <v>112</v>
      </c>
      <c r="AF22" s="151">
        <f>SUM(AF4:AF21)</f>
        <v>17038</v>
      </c>
      <c r="AG22" s="151" t="s">
        <v>112</v>
      </c>
      <c r="AH22" s="151">
        <f>SUM(AH4:AH21)</f>
        <v>2729.01</v>
      </c>
      <c r="AI22" s="151" t="s">
        <v>112</v>
      </c>
      <c r="AL22" s="81">
        <f>SUM(AL8:AL21)/H22</f>
        <v>7171.6646042531265</v>
      </c>
      <c r="AM22" s="29">
        <f>SUM(AM4:AM21)</f>
        <v>187.47</v>
      </c>
      <c r="AN22" s="29">
        <f>SUM(AN4:AN21)</f>
        <v>187.46</v>
      </c>
    </row>
    <row r="23" spans="1:45" ht="23.25">
      <c r="A23" s="23"/>
      <c r="B23" s="23"/>
      <c r="C23" s="23"/>
      <c r="D23" s="23"/>
      <c r="E23" s="23"/>
      <c r="F23" s="205" t="s">
        <v>113</v>
      </c>
      <c r="G23" s="205"/>
      <c r="H23" s="154"/>
      <c r="I23" s="154"/>
      <c r="J23" s="154"/>
      <c r="K23" s="154"/>
      <c r="L23" s="169"/>
      <c r="M23" s="151" t="s">
        <v>112</v>
      </c>
      <c r="N23" s="151" t="s">
        <v>112</v>
      </c>
      <c r="O23" s="151" t="s">
        <v>112</v>
      </c>
      <c r="P23" s="151" t="s">
        <v>112</v>
      </c>
      <c r="Q23" s="151">
        <f>SUMPRODUCT(Q4:Q21,H4:H21)/H22</f>
        <v>3.1151269579585006</v>
      </c>
      <c r="R23" s="151" t="s">
        <v>112</v>
      </c>
      <c r="S23" s="151" t="s">
        <v>112</v>
      </c>
      <c r="T23" s="151" t="s">
        <v>112</v>
      </c>
      <c r="U23" s="151" t="s">
        <v>112</v>
      </c>
      <c r="V23" s="151">
        <f>SUMPRODUCT(V4:V21,H4:H21)/H22</f>
        <v>6.2644274184302109</v>
      </c>
      <c r="W23" s="155" t="s">
        <v>112</v>
      </c>
      <c r="X23" s="155" t="s">
        <v>112</v>
      </c>
      <c r="Y23" s="155" t="s">
        <v>112</v>
      </c>
      <c r="Z23" s="155">
        <f>SUMPRODUCT(Z4:Z21,H4:H21)/H22</f>
        <v>1.3653816507797401</v>
      </c>
      <c r="AA23" s="155" t="s">
        <v>112</v>
      </c>
      <c r="AB23" s="155" t="s">
        <v>112</v>
      </c>
      <c r="AC23" s="155">
        <f>SUMPRODUCT(AC4:AC21,H4:H21)/H22</f>
        <v>1.787298796494394</v>
      </c>
      <c r="AD23" s="155" t="s">
        <v>112</v>
      </c>
      <c r="AE23" s="155">
        <f>SUMPRODUCT(AE4:AE21,H4:H21)/H22</f>
        <v>6.4105404089702294</v>
      </c>
      <c r="AF23" s="155" t="s">
        <v>112</v>
      </c>
      <c r="AG23" s="155">
        <f>SUMPRODUCT(AG4:AG21,H4:H21)/H22</f>
        <v>2.5053754916406761</v>
      </c>
      <c r="AH23" s="155" t="s">
        <v>112</v>
      </c>
      <c r="AI23" s="155">
        <f>SUMPRODUCT(AO4:AO21,H4:H21)/H22</f>
        <v>0</v>
      </c>
      <c r="AK23" s="80"/>
      <c r="AM23" s="18">
        <f>((AM22-H22)/H22)*100</f>
        <v>-3.3535249387807546</v>
      </c>
      <c r="AN23" s="18">
        <f>((AN22-H22)/H22)*100</f>
        <v>-3.3586802422992443</v>
      </c>
    </row>
    <row r="24" spans="1:45" ht="15">
      <c r="AE24" s="21"/>
      <c r="AF24" s="22"/>
    </row>
    <row r="25" spans="1:45" ht="15">
      <c r="AE25" s="19"/>
      <c r="AF25" s="20"/>
    </row>
    <row r="26" spans="1:45" ht="15">
      <c r="AE26" s="19"/>
      <c r="AF26" s="20"/>
    </row>
    <row r="30" spans="1:45" ht="23.25">
      <c r="A30" s="206" t="s">
        <v>224</v>
      </c>
      <c r="B30" s="206"/>
      <c r="C30" s="206"/>
      <c r="D30" s="206"/>
      <c r="E30" s="206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6"/>
      <c r="AF30" s="87"/>
      <c r="AG30" s="80"/>
      <c r="AI30" s="80"/>
      <c r="AJ30" s="80"/>
      <c r="AK30" s="80"/>
      <c r="AL30" s="80"/>
      <c r="AM30" s="80"/>
      <c r="AN30" s="80"/>
      <c r="AO30" s="80"/>
      <c r="AP30" s="80"/>
    </row>
    <row r="31" spans="1:45" ht="66.75" customHeight="1">
      <c r="A31" s="171" t="s">
        <v>117</v>
      </c>
      <c r="B31" s="171" t="s">
        <v>0</v>
      </c>
      <c r="C31" s="193" t="s">
        <v>1</v>
      </c>
      <c r="D31" s="195" t="s">
        <v>2</v>
      </c>
      <c r="E31" s="171" t="s">
        <v>3</v>
      </c>
      <c r="F31" s="171" t="s">
        <v>235</v>
      </c>
      <c r="G31" s="171" t="s">
        <v>236</v>
      </c>
      <c r="H31" s="190" t="s">
        <v>237</v>
      </c>
      <c r="I31" s="171" t="s">
        <v>5</v>
      </c>
      <c r="J31" s="171" t="s">
        <v>6</v>
      </c>
      <c r="K31" s="185" t="s">
        <v>7</v>
      </c>
      <c r="L31" s="171" t="s">
        <v>8</v>
      </c>
      <c r="M31" s="187" t="s">
        <v>238</v>
      </c>
      <c r="N31" s="188"/>
      <c r="O31" s="188"/>
      <c r="P31" s="189"/>
      <c r="Q31" s="183" t="s">
        <v>239</v>
      </c>
      <c r="R31" s="177" t="s">
        <v>242</v>
      </c>
      <c r="S31" s="178"/>
      <c r="T31" s="179"/>
      <c r="U31" s="183" t="s">
        <v>243</v>
      </c>
      <c r="V31" s="175" t="s">
        <v>205</v>
      </c>
      <c r="W31" s="175" t="s">
        <v>264</v>
      </c>
      <c r="X31" s="175" t="s">
        <v>265</v>
      </c>
      <c r="Y31" s="131" t="s">
        <v>206</v>
      </c>
      <c r="Z31" s="175" t="s">
        <v>207</v>
      </c>
      <c r="AA31" s="175" t="s">
        <v>266</v>
      </c>
      <c r="AB31" s="175" t="s">
        <v>250</v>
      </c>
      <c r="AC31" s="168" t="s">
        <v>212</v>
      </c>
      <c r="AD31" s="91"/>
      <c r="AE31" s="91"/>
      <c r="AF31" s="91"/>
      <c r="AG31" s="80"/>
      <c r="AH31" s="86"/>
      <c r="AI31" s="87"/>
      <c r="AJ31" s="80"/>
      <c r="AK31" s="80"/>
      <c r="AL31" s="80"/>
      <c r="AM31" s="80"/>
      <c r="AN31" s="80"/>
      <c r="AO31" s="80"/>
      <c r="AP31" s="80"/>
      <c r="AQ31" s="80"/>
      <c r="AR31" s="80"/>
      <c r="AS31" s="80"/>
    </row>
    <row r="32" spans="1:45" ht="23.25">
      <c r="A32" s="172"/>
      <c r="B32" s="172"/>
      <c r="C32" s="194"/>
      <c r="D32" s="196"/>
      <c r="E32" s="172"/>
      <c r="F32" s="172"/>
      <c r="G32" s="172"/>
      <c r="H32" s="191"/>
      <c r="I32" s="172"/>
      <c r="J32" s="172"/>
      <c r="K32" s="186"/>
      <c r="L32" s="172"/>
      <c r="M32" s="143" t="s">
        <v>253</v>
      </c>
      <c r="N32" s="144" t="s">
        <v>254</v>
      </c>
      <c r="O32" s="144" t="s">
        <v>255</v>
      </c>
      <c r="P32" s="143" t="s">
        <v>256</v>
      </c>
      <c r="Q32" s="184"/>
      <c r="R32" s="143" t="s">
        <v>261</v>
      </c>
      <c r="S32" s="144" t="s">
        <v>262</v>
      </c>
      <c r="T32" s="143" t="s">
        <v>263</v>
      </c>
      <c r="U32" s="184"/>
      <c r="V32" s="176"/>
      <c r="W32" s="176"/>
      <c r="X32" s="176"/>
      <c r="Y32" s="132"/>
      <c r="Z32" s="176"/>
      <c r="AA32" s="176"/>
      <c r="AB32" s="176"/>
      <c r="AC32" s="135" t="s">
        <v>267</v>
      </c>
      <c r="AD32" s="92"/>
      <c r="AE32" s="92"/>
      <c r="AF32" s="92"/>
      <c r="AG32" s="80"/>
      <c r="AH32" s="86"/>
      <c r="AI32" s="87"/>
      <c r="AJ32" s="80"/>
      <c r="AK32" s="80"/>
      <c r="AL32" s="80"/>
      <c r="AM32" s="80"/>
      <c r="AN32" s="80"/>
      <c r="AO32" s="80"/>
      <c r="AP32" s="80"/>
      <c r="AQ32" s="80"/>
      <c r="AR32" s="80"/>
      <c r="AS32" s="80"/>
    </row>
    <row r="33" spans="1:45" ht="23.25">
      <c r="A33" s="82" t="s">
        <v>72</v>
      </c>
      <c r="B33" s="85">
        <v>426</v>
      </c>
      <c r="C33" s="85">
        <v>363</v>
      </c>
      <c r="D33" s="85">
        <v>100</v>
      </c>
      <c r="E33" s="85" t="s">
        <v>129</v>
      </c>
      <c r="F33" s="89" t="s">
        <v>99</v>
      </c>
      <c r="G33" s="89" t="s">
        <v>130</v>
      </c>
      <c r="H33" s="88">
        <v>3.74</v>
      </c>
      <c r="I33" s="90">
        <v>4</v>
      </c>
      <c r="J33" s="106" t="s">
        <v>227</v>
      </c>
      <c r="K33" s="83">
        <v>42233</v>
      </c>
      <c r="L33" s="82" t="s">
        <v>210</v>
      </c>
      <c r="M33" s="101">
        <v>0.27500000000000002</v>
      </c>
      <c r="N33" s="101">
        <v>0.625</v>
      </c>
      <c r="O33" s="101">
        <v>2.2000000000000002</v>
      </c>
      <c r="P33" s="101">
        <v>0.67500000000000004</v>
      </c>
      <c r="Q33" s="101">
        <v>4.1719900000000001</v>
      </c>
      <c r="R33" s="101">
        <v>0</v>
      </c>
      <c r="S33" s="101">
        <v>0</v>
      </c>
      <c r="T33" s="101">
        <f>SUM(M33:P33)</f>
        <v>3.7750000000000004</v>
      </c>
      <c r="U33" s="101">
        <v>1.0479099999999999</v>
      </c>
      <c r="V33" s="95">
        <v>87</v>
      </c>
      <c r="W33" s="95">
        <v>3</v>
      </c>
      <c r="X33" s="95">
        <v>47</v>
      </c>
      <c r="Y33" s="95">
        <v>18</v>
      </c>
      <c r="Z33" s="95">
        <v>3</v>
      </c>
      <c r="AA33" s="101">
        <v>20.45</v>
      </c>
      <c r="AB33" s="101">
        <v>0.1562261268143621</v>
      </c>
      <c r="AC33" s="95">
        <v>18</v>
      </c>
      <c r="AD33" s="93"/>
      <c r="AE33" s="93"/>
      <c r="AF33" s="93"/>
      <c r="AG33" s="80"/>
      <c r="AH33" s="86"/>
      <c r="AI33" s="86"/>
      <c r="AJ33" s="80"/>
      <c r="AK33" s="80"/>
      <c r="AL33" s="80"/>
      <c r="AM33" s="80"/>
      <c r="AN33" s="80"/>
      <c r="AO33" s="80"/>
      <c r="AP33" s="80"/>
      <c r="AQ33" s="80"/>
      <c r="AR33" s="80"/>
      <c r="AS33" s="80"/>
    </row>
    <row r="34" spans="1:45" ht="23.25">
      <c r="A34" s="82" t="s">
        <v>72</v>
      </c>
      <c r="B34" s="85">
        <v>426</v>
      </c>
      <c r="C34" s="85">
        <v>363</v>
      </c>
      <c r="D34" s="85">
        <v>100</v>
      </c>
      <c r="E34" s="85" t="s">
        <v>129</v>
      </c>
      <c r="F34" s="89" t="s">
        <v>130</v>
      </c>
      <c r="G34" s="89" t="s">
        <v>131</v>
      </c>
      <c r="H34" s="88">
        <v>4.2089999999999996</v>
      </c>
      <c r="I34" s="90">
        <v>4</v>
      </c>
      <c r="J34" s="106" t="s">
        <v>226</v>
      </c>
      <c r="K34" s="83">
        <v>42233</v>
      </c>
      <c r="L34" s="82" t="s">
        <v>210</v>
      </c>
      <c r="M34" s="101">
        <v>2.5000000000000001E-2</v>
      </c>
      <c r="N34" s="101">
        <v>1.075</v>
      </c>
      <c r="O34" s="101">
        <v>2.35</v>
      </c>
      <c r="P34" s="101">
        <v>0.72499999999999998</v>
      </c>
      <c r="Q34" s="101">
        <v>4.2515599999999996</v>
      </c>
      <c r="R34" s="101">
        <v>0</v>
      </c>
      <c r="S34" s="101">
        <v>0</v>
      </c>
      <c r="T34" s="101">
        <f t="shared" ref="T34:T38" si="7">SUM(M34:P34)</f>
        <v>4.1749999999999998</v>
      </c>
      <c r="U34" s="101">
        <v>1.0657399999999999</v>
      </c>
      <c r="V34" s="95">
        <v>143</v>
      </c>
      <c r="W34" s="95">
        <v>3</v>
      </c>
      <c r="X34" s="95">
        <v>42</v>
      </c>
      <c r="Y34" s="95">
        <v>3</v>
      </c>
      <c r="Z34" s="95">
        <v>4</v>
      </c>
      <c r="AA34" s="101">
        <v>12.56</v>
      </c>
      <c r="AB34" s="101">
        <v>8.525947798934258E-2</v>
      </c>
      <c r="AC34" s="95">
        <v>93</v>
      </c>
      <c r="AD34" s="93"/>
      <c r="AE34" s="93"/>
      <c r="AF34" s="93"/>
      <c r="AG34" s="67"/>
      <c r="AH34" s="67"/>
      <c r="AI34" s="67"/>
      <c r="AJ34" s="67"/>
      <c r="AK34" s="80"/>
      <c r="AL34" s="67"/>
      <c r="AM34" s="67"/>
      <c r="AN34" s="67"/>
      <c r="AO34" s="67"/>
      <c r="AP34" s="67"/>
      <c r="AQ34" s="67"/>
      <c r="AR34" s="67"/>
      <c r="AS34" s="67"/>
    </row>
    <row r="35" spans="1:45" ht="23.25">
      <c r="A35" s="82" t="s">
        <v>72</v>
      </c>
      <c r="B35" s="85">
        <v>426</v>
      </c>
      <c r="C35" s="85">
        <v>363</v>
      </c>
      <c r="D35" s="85">
        <v>100</v>
      </c>
      <c r="E35" s="85" t="s">
        <v>129</v>
      </c>
      <c r="F35" s="89" t="s">
        <v>130</v>
      </c>
      <c r="G35" s="89" t="s">
        <v>99</v>
      </c>
      <c r="H35" s="88">
        <v>3.74</v>
      </c>
      <c r="I35" s="90">
        <v>4</v>
      </c>
      <c r="J35" s="106" t="s">
        <v>95</v>
      </c>
      <c r="K35" s="83">
        <v>42233</v>
      </c>
      <c r="L35" s="82" t="s">
        <v>210</v>
      </c>
      <c r="M35" s="101">
        <v>0.375</v>
      </c>
      <c r="N35" s="101">
        <v>1.7250000000000001</v>
      </c>
      <c r="O35" s="101">
        <v>1.25</v>
      </c>
      <c r="P35" s="101">
        <v>0.35</v>
      </c>
      <c r="Q35" s="101">
        <v>3.5676399999999999</v>
      </c>
      <c r="R35" s="101">
        <v>0</v>
      </c>
      <c r="S35" s="101">
        <v>0</v>
      </c>
      <c r="T35" s="101">
        <f t="shared" si="7"/>
        <v>3.7</v>
      </c>
      <c r="U35" s="101">
        <v>1.1158399999999999</v>
      </c>
      <c r="V35" s="95">
        <v>20</v>
      </c>
      <c r="W35" s="95">
        <v>0</v>
      </c>
      <c r="X35" s="95">
        <v>7</v>
      </c>
      <c r="Y35" s="95">
        <v>3</v>
      </c>
      <c r="Z35" s="95">
        <v>3</v>
      </c>
      <c r="AA35" s="101">
        <v>4.0599999999999996</v>
      </c>
      <c r="AB35" s="101">
        <v>3.1016042780748661E-2</v>
      </c>
      <c r="AC35" s="95">
        <v>12</v>
      </c>
      <c r="AD35" s="93"/>
      <c r="AE35" s="93"/>
      <c r="AF35" s="93"/>
      <c r="AG35" s="67"/>
      <c r="AH35" s="67"/>
      <c r="AI35" s="67"/>
      <c r="AJ35" s="67"/>
      <c r="AK35" s="80"/>
      <c r="AL35" s="67"/>
      <c r="AM35" s="67"/>
      <c r="AN35" s="67"/>
      <c r="AO35" s="67"/>
      <c r="AP35" s="67"/>
      <c r="AQ35" s="67"/>
      <c r="AR35" s="67"/>
      <c r="AS35" s="67"/>
    </row>
    <row r="36" spans="1:45" ht="23.25">
      <c r="A36" s="82" t="s">
        <v>72</v>
      </c>
      <c r="B36" s="85">
        <v>426</v>
      </c>
      <c r="C36" s="85">
        <v>363</v>
      </c>
      <c r="D36" s="85">
        <v>100</v>
      </c>
      <c r="E36" s="85" t="s">
        <v>129</v>
      </c>
      <c r="F36" s="89" t="s">
        <v>131</v>
      </c>
      <c r="G36" s="89" t="s">
        <v>130</v>
      </c>
      <c r="H36" s="88">
        <v>4.2089999999999996</v>
      </c>
      <c r="I36" s="90">
        <v>4</v>
      </c>
      <c r="J36" s="106" t="s">
        <v>94</v>
      </c>
      <c r="K36" s="83">
        <v>42233</v>
      </c>
      <c r="L36" s="82" t="s">
        <v>210</v>
      </c>
      <c r="M36" s="101">
        <v>2.5000000000000001E-2</v>
      </c>
      <c r="N36" s="101">
        <v>0.35</v>
      </c>
      <c r="O36" s="101">
        <v>2.625</v>
      </c>
      <c r="P36" s="101">
        <v>1.2250000000000001</v>
      </c>
      <c r="Q36" s="101">
        <v>4.6092300000000002</v>
      </c>
      <c r="R36" s="101">
        <v>0</v>
      </c>
      <c r="S36" s="101">
        <v>0</v>
      </c>
      <c r="T36" s="101">
        <f t="shared" si="7"/>
        <v>4.2249999999999996</v>
      </c>
      <c r="U36" s="101">
        <v>1.1512800000000001</v>
      </c>
      <c r="V36" s="95">
        <v>23</v>
      </c>
      <c r="W36" s="95">
        <v>1</v>
      </c>
      <c r="X36" s="95">
        <v>7</v>
      </c>
      <c r="Y36" s="95">
        <v>0</v>
      </c>
      <c r="Z36" s="95">
        <v>2</v>
      </c>
      <c r="AA36" s="101">
        <v>1.1200000000000001</v>
      </c>
      <c r="AB36" s="101">
        <v>7.6027559990496565E-3</v>
      </c>
      <c r="AC36" s="95">
        <v>0</v>
      </c>
      <c r="AD36" s="93"/>
      <c r="AE36" s="93"/>
      <c r="AF36" s="93"/>
      <c r="AG36" s="67"/>
      <c r="AH36" s="67"/>
      <c r="AI36" s="67"/>
      <c r="AJ36" s="67"/>
      <c r="AK36" s="80"/>
      <c r="AL36" s="67"/>
      <c r="AM36" s="67"/>
      <c r="AN36" s="67"/>
      <c r="AO36" s="67"/>
      <c r="AP36" s="67"/>
      <c r="AQ36" s="67"/>
      <c r="AR36" s="67"/>
      <c r="AS36" s="67"/>
    </row>
    <row r="37" spans="1:45" ht="23.25">
      <c r="A37" s="82" t="s">
        <v>72</v>
      </c>
      <c r="B37" s="85">
        <v>426</v>
      </c>
      <c r="C37" s="85">
        <v>3140</v>
      </c>
      <c r="D37" s="85">
        <v>100</v>
      </c>
      <c r="E37" s="85" t="s">
        <v>215</v>
      </c>
      <c r="F37" s="89" t="s">
        <v>99</v>
      </c>
      <c r="G37" s="89" t="s">
        <v>216</v>
      </c>
      <c r="H37" s="88">
        <v>0.1</v>
      </c>
      <c r="I37" s="90">
        <v>4</v>
      </c>
      <c r="J37" s="106" t="s">
        <v>226</v>
      </c>
      <c r="K37" s="83">
        <v>42233</v>
      </c>
      <c r="L37" s="82" t="s">
        <v>210</v>
      </c>
      <c r="M37" s="101">
        <v>0</v>
      </c>
      <c r="N37" s="101">
        <v>7.4999999999999997E-2</v>
      </c>
      <c r="O37" s="101">
        <v>2.5000000000000001E-2</v>
      </c>
      <c r="P37" s="101">
        <v>2.5000000000000001E-2</v>
      </c>
      <c r="Q37" s="101">
        <v>4.3879999999999999</v>
      </c>
      <c r="R37" s="101">
        <v>0</v>
      </c>
      <c r="S37" s="101">
        <v>0</v>
      </c>
      <c r="T37" s="101">
        <f t="shared" si="7"/>
        <v>0.125</v>
      </c>
      <c r="U37" s="101">
        <v>1.0149999999999999</v>
      </c>
      <c r="V37" s="95">
        <v>0</v>
      </c>
      <c r="W37" s="95">
        <v>5</v>
      </c>
      <c r="X37" s="95">
        <v>0</v>
      </c>
      <c r="Y37" s="95">
        <v>0</v>
      </c>
      <c r="Z37" s="95">
        <v>0</v>
      </c>
      <c r="AA37" s="101">
        <v>0</v>
      </c>
      <c r="AB37" s="101">
        <v>0</v>
      </c>
      <c r="AC37" s="95">
        <v>3</v>
      </c>
      <c r="AD37" s="93"/>
      <c r="AE37" s="93"/>
      <c r="AF37" s="93"/>
      <c r="AG37" s="67"/>
      <c r="AH37" s="67"/>
      <c r="AI37" s="67"/>
      <c r="AJ37" s="67"/>
      <c r="AK37" s="80"/>
      <c r="AL37" s="67"/>
      <c r="AM37" s="67"/>
      <c r="AN37" s="67"/>
      <c r="AO37" s="67"/>
      <c r="AP37" s="67"/>
      <c r="AQ37" s="67"/>
      <c r="AR37" s="67"/>
      <c r="AS37" s="67"/>
    </row>
    <row r="38" spans="1:45" ht="23.25">
      <c r="A38" s="82" t="s">
        <v>72</v>
      </c>
      <c r="B38" s="85">
        <v>426</v>
      </c>
      <c r="C38" s="85">
        <v>3140</v>
      </c>
      <c r="D38" s="85">
        <v>100</v>
      </c>
      <c r="E38" s="85" t="s">
        <v>215</v>
      </c>
      <c r="F38" s="89" t="s">
        <v>216</v>
      </c>
      <c r="G38" s="89" t="s">
        <v>99</v>
      </c>
      <c r="H38" s="88">
        <v>0.1</v>
      </c>
      <c r="I38" s="90">
        <v>4</v>
      </c>
      <c r="J38" s="85" t="s">
        <v>94</v>
      </c>
      <c r="K38" s="83">
        <v>42233</v>
      </c>
      <c r="L38" s="82" t="s">
        <v>210</v>
      </c>
      <c r="M38" s="139">
        <v>7.4999999999999997E-2</v>
      </c>
      <c r="N38" s="139">
        <v>2.5000000000000001E-2</v>
      </c>
      <c r="O38" s="139">
        <v>0</v>
      </c>
      <c r="P38" s="139">
        <v>2.5000000000000001E-2</v>
      </c>
      <c r="Q38" s="101">
        <v>3.238</v>
      </c>
      <c r="R38" s="101">
        <v>0</v>
      </c>
      <c r="S38" s="101">
        <v>0</v>
      </c>
      <c r="T38" s="101">
        <f t="shared" si="7"/>
        <v>0.125</v>
      </c>
      <c r="U38" s="101">
        <v>0.96699999999999997</v>
      </c>
      <c r="V38" s="95">
        <v>0</v>
      </c>
      <c r="W38" s="95">
        <v>0</v>
      </c>
      <c r="X38" s="95">
        <v>0</v>
      </c>
      <c r="Y38" s="95">
        <v>0</v>
      </c>
      <c r="Z38" s="95">
        <v>0</v>
      </c>
      <c r="AA38" s="101">
        <v>0</v>
      </c>
      <c r="AB38" s="101">
        <v>0</v>
      </c>
      <c r="AC38" s="95">
        <v>1</v>
      </c>
      <c r="AD38" s="93"/>
      <c r="AE38" s="93"/>
      <c r="AF38" s="93"/>
      <c r="AG38" s="67"/>
      <c r="AH38" s="67"/>
      <c r="AI38" s="67"/>
      <c r="AJ38" s="67"/>
      <c r="AK38" s="80"/>
      <c r="AL38" s="67"/>
      <c r="AM38" s="67"/>
      <c r="AN38" s="67"/>
      <c r="AO38" s="67"/>
      <c r="AP38" s="67"/>
      <c r="AQ38" s="67"/>
      <c r="AR38" s="67"/>
      <c r="AS38" s="67"/>
    </row>
    <row r="39" spans="1:45" ht="23.25">
      <c r="A39" s="81"/>
      <c r="B39" s="81"/>
      <c r="C39" s="81"/>
      <c r="D39" s="81"/>
      <c r="E39" s="81"/>
      <c r="F39" s="181" t="s">
        <v>111</v>
      </c>
      <c r="G39" s="182"/>
      <c r="H39" s="161">
        <v>16.097999999999999</v>
      </c>
      <c r="I39" s="162"/>
      <c r="J39" s="162"/>
      <c r="K39" s="162"/>
      <c r="L39" s="162"/>
      <c r="M39" s="161">
        <f t="shared" ref="M39:P39" si="8">SUM(M33:M38)</f>
        <v>0.77500000000000002</v>
      </c>
      <c r="N39" s="161">
        <f t="shared" si="8"/>
        <v>3.875</v>
      </c>
      <c r="O39" s="161">
        <f t="shared" si="8"/>
        <v>8.4500000000000011</v>
      </c>
      <c r="P39" s="161">
        <f t="shared" si="8"/>
        <v>3.0249999999999999</v>
      </c>
      <c r="Q39" s="152" t="s">
        <v>112</v>
      </c>
      <c r="R39" s="152">
        <f t="shared" ref="R39:S39" si="9">SUM(R33:R38)</f>
        <v>0</v>
      </c>
      <c r="S39" s="152">
        <f t="shared" si="9"/>
        <v>0</v>
      </c>
      <c r="T39" s="152">
        <f>SUM(T33:T38)</f>
        <v>16.125</v>
      </c>
      <c r="U39" s="152" t="s">
        <v>112</v>
      </c>
      <c r="V39" s="163">
        <v>273</v>
      </c>
      <c r="W39" s="163">
        <v>12</v>
      </c>
      <c r="X39" s="163">
        <v>103</v>
      </c>
      <c r="Y39" s="163">
        <v>24</v>
      </c>
      <c r="Z39" s="163">
        <v>12</v>
      </c>
      <c r="AA39" s="152">
        <v>38.19</v>
      </c>
      <c r="AB39" s="152" t="s">
        <v>112</v>
      </c>
      <c r="AC39" s="163">
        <v>127</v>
      </c>
      <c r="AD39" s="164"/>
      <c r="AE39" s="94"/>
      <c r="AF39" s="94"/>
      <c r="AG39" s="67"/>
      <c r="AH39" s="67"/>
      <c r="AI39" s="67"/>
      <c r="AJ39" s="67"/>
      <c r="AK39" s="80"/>
      <c r="AL39" s="67"/>
      <c r="AM39" s="67"/>
      <c r="AN39" s="67"/>
      <c r="AO39" s="67"/>
      <c r="AP39" s="67"/>
      <c r="AQ39" s="67"/>
      <c r="AR39" s="67"/>
      <c r="AS39" s="67"/>
    </row>
    <row r="40" spans="1:45" ht="23.25">
      <c r="A40" s="80"/>
      <c r="B40" s="80"/>
      <c r="C40" s="81"/>
      <c r="D40" s="81"/>
      <c r="E40" s="81"/>
      <c r="F40" s="181" t="s">
        <v>113</v>
      </c>
      <c r="G40" s="182"/>
      <c r="H40" s="162"/>
      <c r="I40" s="162"/>
      <c r="J40" s="162"/>
      <c r="K40" s="162"/>
      <c r="L40" s="162"/>
      <c r="M40" s="152" t="s">
        <v>112</v>
      </c>
      <c r="N40" s="152" t="s">
        <v>112</v>
      </c>
      <c r="O40" s="152" t="s">
        <v>112</v>
      </c>
      <c r="P40" s="152" t="s">
        <v>112</v>
      </c>
      <c r="Q40" s="158">
        <v>4.1622488079264501</v>
      </c>
      <c r="R40" s="158" t="s">
        <v>112</v>
      </c>
      <c r="S40" s="158" t="s">
        <v>112</v>
      </c>
      <c r="T40" s="158" t="s">
        <v>112</v>
      </c>
      <c r="U40" s="158">
        <v>1.0946740079512984</v>
      </c>
      <c r="V40" s="157" t="s">
        <v>112</v>
      </c>
      <c r="W40" s="157" t="s">
        <v>112</v>
      </c>
      <c r="X40" s="157" t="s">
        <v>112</v>
      </c>
      <c r="Y40" s="157" t="s">
        <v>112</v>
      </c>
      <c r="Z40" s="157" t="s">
        <v>112</v>
      </c>
      <c r="AA40" s="158" t="s">
        <v>112</v>
      </c>
      <c r="AB40" s="158">
        <v>6.7781268303072267E-2</v>
      </c>
      <c r="AC40" s="157" t="s">
        <v>112</v>
      </c>
      <c r="AD40" s="164"/>
      <c r="AE40" s="94"/>
      <c r="AF40" s="94"/>
      <c r="AG40" s="67"/>
      <c r="AH40" s="67"/>
      <c r="AI40" s="67"/>
      <c r="AJ40" s="67"/>
      <c r="AK40" s="80"/>
      <c r="AL40" s="67"/>
      <c r="AM40" s="67"/>
      <c r="AN40" s="67"/>
      <c r="AO40" s="67"/>
      <c r="AP40" s="67"/>
      <c r="AQ40" s="67"/>
      <c r="AR40" s="67"/>
      <c r="AS40" s="67"/>
    </row>
  </sheetData>
  <mergeCells count="55">
    <mergeCell ref="V2:V3"/>
    <mergeCell ref="W2:Y2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  <mergeCell ref="R2:U2"/>
    <mergeCell ref="F2:F3"/>
    <mergeCell ref="A2:A3"/>
    <mergeCell ref="B2:B3"/>
    <mergeCell ref="C2:C3"/>
    <mergeCell ref="D2:D3"/>
    <mergeCell ref="E2:E3"/>
    <mergeCell ref="F39:G39"/>
    <mergeCell ref="F40:G40"/>
    <mergeCell ref="F31:F32"/>
    <mergeCell ref="A31:A32"/>
    <mergeCell ref="B31:B32"/>
    <mergeCell ref="C31:C32"/>
    <mergeCell ref="D31:D32"/>
    <mergeCell ref="K31:K32"/>
    <mergeCell ref="L31:L32"/>
    <mergeCell ref="R31:T31"/>
    <mergeCell ref="A30:E30"/>
    <mergeCell ref="E31:E32"/>
    <mergeCell ref="F22:G22"/>
    <mergeCell ref="F23:G23"/>
    <mergeCell ref="A1:E1"/>
    <mergeCell ref="AA31:AA32"/>
    <mergeCell ref="AB31:AB32"/>
    <mergeCell ref="Z31:Z32"/>
    <mergeCell ref="W31:W32"/>
    <mergeCell ref="X31:X32"/>
    <mergeCell ref="V31:V32"/>
    <mergeCell ref="G31:G32"/>
    <mergeCell ref="H31:H32"/>
    <mergeCell ref="I31:I32"/>
    <mergeCell ref="J31:J32"/>
    <mergeCell ref="M31:P31"/>
    <mergeCell ref="Q31:Q32"/>
    <mergeCell ref="U31:U32"/>
  </mergeCells>
  <printOptions horizontalCentered="1"/>
  <pageMargins left="0.64469696969696966" right="0.25" top="0.75" bottom="0.75" header="0.3" footer="0.3"/>
  <pageSetup paperSize="8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8"/>
  <sheetViews>
    <sheetView tabSelected="1" view="pageLayout" topLeftCell="N1" zoomScaleNormal="60" zoomScaleSheetLayoutView="50" workbookViewId="0">
      <selection activeCell="E60" sqref="E60"/>
    </sheetView>
  </sheetViews>
  <sheetFormatPr defaultRowHeight="14.25"/>
  <cols>
    <col min="1" max="1" width="28.375" customWidth="1"/>
    <col min="2" max="4" width="9.125" bestFit="1" customWidth="1"/>
    <col min="5" max="5" width="31.75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80" customWidth="1"/>
    <col min="35" max="35" width="9" customWidth="1"/>
    <col min="37" max="37" width="9.125" bestFit="1" customWidth="1"/>
    <col min="38" max="38" width="10.75" bestFit="1" customWidth="1"/>
    <col min="39" max="39" width="9.125" bestFit="1" customWidth="1"/>
  </cols>
  <sheetData>
    <row r="1" spans="1:45" s="1" customFormat="1" ht="23.25">
      <c r="A1" s="98" t="s">
        <v>225</v>
      </c>
      <c r="B1" s="98"/>
      <c r="C1" s="98"/>
      <c r="D1" s="98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80"/>
    </row>
    <row r="2" spans="1:45" s="1" customFormat="1" ht="30" customHeight="1">
      <c r="A2" s="180" t="s">
        <v>117</v>
      </c>
      <c r="B2" s="180" t="s">
        <v>0</v>
      </c>
      <c r="C2" s="198" t="s">
        <v>1</v>
      </c>
      <c r="D2" s="199" t="s">
        <v>2</v>
      </c>
      <c r="E2" s="180" t="s">
        <v>3</v>
      </c>
      <c r="F2" s="180" t="s">
        <v>235</v>
      </c>
      <c r="G2" s="180" t="s">
        <v>236</v>
      </c>
      <c r="H2" s="200" t="s">
        <v>237</v>
      </c>
      <c r="I2" s="180" t="s">
        <v>5</v>
      </c>
      <c r="J2" s="180" t="s">
        <v>6</v>
      </c>
      <c r="K2" s="201" t="s">
        <v>7</v>
      </c>
      <c r="L2" s="180" t="s">
        <v>8</v>
      </c>
      <c r="M2" s="174" t="s">
        <v>238</v>
      </c>
      <c r="N2" s="174"/>
      <c r="O2" s="174"/>
      <c r="P2" s="174"/>
      <c r="Q2" s="173" t="s">
        <v>239</v>
      </c>
      <c r="R2" s="174" t="s">
        <v>240</v>
      </c>
      <c r="S2" s="174"/>
      <c r="T2" s="174"/>
      <c r="U2" s="174"/>
      <c r="V2" s="173" t="s">
        <v>241</v>
      </c>
      <c r="W2" s="177" t="s">
        <v>242</v>
      </c>
      <c r="X2" s="178"/>
      <c r="Y2" s="179"/>
      <c r="Z2" s="173" t="s">
        <v>243</v>
      </c>
      <c r="AA2" s="202" t="s">
        <v>244</v>
      </c>
      <c r="AB2" s="202" t="s">
        <v>245</v>
      </c>
      <c r="AC2" s="203" t="s">
        <v>246</v>
      </c>
      <c r="AD2" s="175" t="s">
        <v>247</v>
      </c>
      <c r="AE2" s="183" t="s">
        <v>248</v>
      </c>
      <c r="AF2" s="175" t="s">
        <v>249</v>
      </c>
      <c r="AG2" s="203" t="s">
        <v>250</v>
      </c>
      <c r="AH2" s="175" t="s">
        <v>251</v>
      </c>
      <c r="AI2" s="175" t="s">
        <v>252</v>
      </c>
      <c r="AK2" s="80"/>
    </row>
    <row r="3" spans="1:45" s="1" customFormat="1" ht="62.25" customHeight="1">
      <c r="A3" s="180"/>
      <c r="B3" s="180"/>
      <c r="C3" s="198"/>
      <c r="D3" s="199"/>
      <c r="E3" s="180"/>
      <c r="F3" s="180"/>
      <c r="G3" s="180"/>
      <c r="H3" s="200"/>
      <c r="I3" s="180"/>
      <c r="J3" s="180"/>
      <c r="K3" s="201"/>
      <c r="L3" s="180"/>
      <c r="M3" s="143" t="s">
        <v>253</v>
      </c>
      <c r="N3" s="144" t="s">
        <v>254</v>
      </c>
      <c r="O3" s="144" t="s">
        <v>255</v>
      </c>
      <c r="P3" s="143" t="s">
        <v>256</v>
      </c>
      <c r="Q3" s="173"/>
      <c r="R3" s="143" t="s">
        <v>257</v>
      </c>
      <c r="S3" s="144" t="s">
        <v>258</v>
      </c>
      <c r="T3" s="144" t="s">
        <v>259</v>
      </c>
      <c r="U3" s="143" t="s">
        <v>260</v>
      </c>
      <c r="V3" s="173"/>
      <c r="W3" s="143" t="s">
        <v>261</v>
      </c>
      <c r="X3" s="144" t="s">
        <v>262</v>
      </c>
      <c r="Y3" s="143" t="s">
        <v>263</v>
      </c>
      <c r="Z3" s="173"/>
      <c r="AA3" s="202"/>
      <c r="AB3" s="202"/>
      <c r="AC3" s="204"/>
      <c r="AD3" s="176"/>
      <c r="AE3" s="184"/>
      <c r="AF3" s="176"/>
      <c r="AG3" s="204"/>
      <c r="AH3" s="176"/>
      <c r="AI3" s="176"/>
      <c r="AK3" s="80"/>
    </row>
    <row r="4" spans="1:45" s="6" customFormat="1" ht="23.25">
      <c r="A4" s="8" t="s">
        <v>80</v>
      </c>
      <c r="B4" s="8">
        <v>428</v>
      </c>
      <c r="C4" s="25">
        <v>331</v>
      </c>
      <c r="D4" s="8">
        <v>101</v>
      </c>
      <c r="E4" s="8" t="s">
        <v>118</v>
      </c>
      <c r="F4" s="9" t="s">
        <v>119</v>
      </c>
      <c r="G4" s="9" t="s">
        <v>99</v>
      </c>
      <c r="H4" s="44">
        <v>10</v>
      </c>
      <c r="I4" s="11">
        <v>2</v>
      </c>
      <c r="J4" s="8" t="s">
        <v>94</v>
      </c>
      <c r="K4" s="12">
        <v>42230</v>
      </c>
      <c r="L4" s="13" t="s">
        <v>114</v>
      </c>
      <c r="M4" s="99">
        <v>6.6749999999999998</v>
      </c>
      <c r="N4" s="99">
        <v>2</v>
      </c>
      <c r="O4" s="99">
        <v>0.85</v>
      </c>
      <c r="P4" s="99">
        <v>0.45</v>
      </c>
      <c r="Q4" s="99">
        <v>2.31176</v>
      </c>
      <c r="R4" s="99">
        <v>9.5500000000000007</v>
      </c>
      <c r="S4" s="99">
        <v>0.4</v>
      </c>
      <c r="T4" s="99">
        <v>2.5000000000000001E-2</v>
      </c>
      <c r="U4" s="99">
        <v>0</v>
      </c>
      <c r="V4" s="99">
        <v>5.0850400000000002</v>
      </c>
      <c r="W4" s="99">
        <v>0</v>
      </c>
      <c r="X4" s="99">
        <v>0</v>
      </c>
      <c r="Y4" s="99">
        <f>SUM(M4:P4)</f>
        <v>9.9749999999999996</v>
      </c>
      <c r="Z4" s="99">
        <v>1.29434</v>
      </c>
      <c r="AA4" s="100">
        <v>15.64</v>
      </c>
      <c r="AB4" s="99">
        <v>0</v>
      </c>
      <c r="AC4" s="99">
        <f t="shared" ref="AC4:AC33" si="0">(AA4+AB4*0.5)/(3.5*H4*1000)*100</f>
        <v>4.4685714285714287E-2</v>
      </c>
      <c r="AD4" s="99">
        <v>0</v>
      </c>
      <c r="AE4" s="99">
        <f t="shared" ref="AE4:AE33" si="1">AD4/(3.5*H4*1000)*100</f>
        <v>0</v>
      </c>
      <c r="AF4" s="99">
        <v>0</v>
      </c>
      <c r="AG4" s="99">
        <f t="shared" ref="AG4:AG33" si="2">AF4/(3.5*H4*1000)*100</f>
        <v>0</v>
      </c>
      <c r="AH4" s="99">
        <v>0</v>
      </c>
      <c r="AI4" s="99">
        <f t="shared" ref="AI4:AI33" si="3">AH4/(3.5*H4*1000)*100</f>
        <v>0</v>
      </c>
      <c r="AJ4" s="3"/>
      <c r="AK4" s="3">
        <f>AB4*0.5</f>
        <v>0</v>
      </c>
      <c r="AL4" s="3">
        <f t="shared" ref="AL4:AL33" si="4">(AA4+AD4+AF4+AH4+AK4)*H4</f>
        <v>156.4</v>
      </c>
      <c r="AM4" s="3">
        <f>SUM(M4:P4)</f>
        <v>9.9749999999999996</v>
      </c>
      <c r="AN4" s="29">
        <f>SUM(R4:U4)</f>
        <v>9.9750000000000014</v>
      </c>
      <c r="AO4" s="4"/>
      <c r="AP4" s="5"/>
      <c r="AQ4" s="5"/>
      <c r="AR4" s="5"/>
      <c r="AS4" s="5"/>
    </row>
    <row r="5" spans="1:45" s="33" customFormat="1" ht="23.25">
      <c r="A5" s="35" t="s">
        <v>80</v>
      </c>
      <c r="B5" s="35">
        <v>428</v>
      </c>
      <c r="C5" s="25">
        <v>331</v>
      </c>
      <c r="D5" s="35">
        <v>101</v>
      </c>
      <c r="E5" s="35" t="s">
        <v>118</v>
      </c>
      <c r="F5" s="36">
        <v>10000</v>
      </c>
      <c r="G5" s="36">
        <v>0</v>
      </c>
      <c r="H5" s="44">
        <v>10</v>
      </c>
      <c r="I5" s="34">
        <v>2</v>
      </c>
      <c r="J5" s="35" t="s">
        <v>227</v>
      </c>
      <c r="K5" s="12">
        <v>42230</v>
      </c>
      <c r="L5" s="13" t="s">
        <v>114</v>
      </c>
      <c r="M5" s="99">
        <v>6.35</v>
      </c>
      <c r="N5" s="99">
        <v>2.4</v>
      </c>
      <c r="O5" s="99">
        <v>0.9</v>
      </c>
      <c r="P5" s="99">
        <v>0.375</v>
      </c>
      <c r="Q5" s="99">
        <v>2.3660000000000001</v>
      </c>
      <c r="R5" s="99">
        <v>9.6999999999999993</v>
      </c>
      <c r="S5" s="99">
        <v>0.15</v>
      </c>
      <c r="T5" s="99">
        <v>2.5000000000000001E-2</v>
      </c>
      <c r="U5" s="99">
        <v>0.15</v>
      </c>
      <c r="V5" s="99">
        <v>5.0759999999999996</v>
      </c>
      <c r="W5" s="99">
        <v>0</v>
      </c>
      <c r="X5" s="99">
        <v>0</v>
      </c>
      <c r="Y5" s="99">
        <f t="shared" ref="Y5:Y59" si="5">SUM(M5:P5)</f>
        <v>10.025</v>
      </c>
      <c r="Z5" s="99">
        <v>1.345</v>
      </c>
      <c r="AA5" s="100">
        <v>1.97</v>
      </c>
      <c r="AB5" s="99">
        <v>0</v>
      </c>
      <c r="AC5" s="99">
        <f t="shared" si="0"/>
        <v>5.6285714285714281E-3</v>
      </c>
      <c r="AD5" s="99">
        <v>0</v>
      </c>
      <c r="AE5" s="99">
        <f t="shared" si="1"/>
        <v>0</v>
      </c>
      <c r="AF5" s="99">
        <v>12.27</v>
      </c>
      <c r="AG5" s="99">
        <f t="shared" si="2"/>
        <v>3.5057142857142856E-2</v>
      </c>
      <c r="AH5" s="99">
        <v>0</v>
      </c>
      <c r="AI5" s="99">
        <f t="shared" si="3"/>
        <v>0</v>
      </c>
      <c r="AJ5" s="3"/>
      <c r="AK5" s="3">
        <f t="shared" ref="AK5:AK56" si="6">AB5*0.5</f>
        <v>0</v>
      </c>
      <c r="AL5" s="3">
        <f t="shared" si="4"/>
        <v>142.4</v>
      </c>
      <c r="AM5" s="3"/>
      <c r="AN5" s="29"/>
      <c r="AO5" s="4"/>
      <c r="AP5" s="5"/>
      <c r="AQ5" s="5"/>
      <c r="AR5" s="5"/>
      <c r="AS5" s="5"/>
    </row>
    <row r="6" spans="1:45" s="6" customFormat="1" ht="23.25">
      <c r="A6" s="35" t="s">
        <v>80</v>
      </c>
      <c r="B6" s="8">
        <v>428</v>
      </c>
      <c r="C6" s="25">
        <v>331</v>
      </c>
      <c r="D6" s="8">
        <v>102</v>
      </c>
      <c r="E6" s="8" t="s">
        <v>81</v>
      </c>
      <c r="F6" s="36" t="s">
        <v>101</v>
      </c>
      <c r="G6" s="36" t="s">
        <v>119</v>
      </c>
      <c r="H6" s="44">
        <v>37</v>
      </c>
      <c r="I6" s="34">
        <v>4</v>
      </c>
      <c r="J6" s="8" t="s">
        <v>94</v>
      </c>
      <c r="K6" s="12">
        <v>42230</v>
      </c>
      <c r="L6" s="13" t="s">
        <v>114</v>
      </c>
      <c r="M6" s="99">
        <v>26.4</v>
      </c>
      <c r="N6" s="99">
        <v>4.9749999999999996</v>
      </c>
      <c r="O6" s="99">
        <v>2.75</v>
      </c>
      <c r="P6" s="99">
        <v>2.9</v>
      </c>
      <c r="Q6" s="99">
        <v>2.7480000000000002</v>
      </c>
      <c r="R6" s="99">
        <v>34.174999999999997</v>
      </c>
      <c r="S6" s="99">
        <v>2.4</v>
      </c>
      <c r="T6" s="99">
        <v>0.4</v>
      </c>
      <c r="U6" s="99">
        <v>0.05</v>
      </c>
      <c r="V6" s="99">
        <v>6.2679999999999998</v>
      </c>
      <c r="W6" s="99">
        <v>0</v>
      </c>
      <c r="X6" s="99">
        <v>0</v>
      </c>
      <c r="Y6" s="99">
        <f t="shared" si="5"/>
        <v>37.024999999999999</v>
      </c>
      <c r="Z6" s="99">
        <v>1.3620000000000001</v>
      </c>
      <c r="AA6" s="100">
        <v>57.83</v>
      </c>
      <c r="AB6" s="99">
        <v>2.4</v>
      </c>
      <c r="AC6" s="99">
        <f t="shared" si="0"/>
        <v>4.5583011583011583E-2</v>
      </c>
      <c r="AD6" s="99">
        <v>0</v>
      </c>
      <c r="AE6" s="99">
        <f t="shared" si="1"/>
        <v>0</v>
      </c>
      <c r="AF6" s="99">
        <v>0</v>
      </c>
      <c r="AG6" s="99">
        <f t="shared" si="2"/>
        <v>0</v>
      </c>
      <c r="AH6" s="99">
        <v>0</v>
      </c>
      <c r="AI6" s="99">
        <f t="shared" si="3"/>
        <v>0</v>
      </c>
      <c r="AJ6" s="3"/>
      <c r="AK6" s="3">
        <f t="shared" si="6"/>
        <v>1.2</v>
      </c>
      <c r="AL6" s="3">
        <f t="shared" si="4"/>
        <v>2184.11</v>
      </c>
      <c r="AM6" s="3">
        <f>SUM(M6:P6)</f>
        <v>37.024999999999999</v>
      </c>
      <c r="AN6" s="29">
        <f>SUM(R6:U6)</f>
        <v>37.024999999999991</v>
      </c>
      <c r="AO6" s="4"/>
      <c r="AP6" s="5"/>
      <c r="AQ6" s="5"/>
      <c r="AR6" s="5"/>
      <c r="AS6" s="5"/>
    </row>
    <row r="7" spans="1:45" s="33" customFormat="1" ht="23.25">
      <c r="A7" s="35" t="s">
        <v>80</v>
      </c>
      <c r="B7" s="35">
        <v>428</v>
      </c>
      <c r="C7" s="25">
        <v>331</v>
      </c>
      <c r="D7" s="35">
        <v>102</v>
      </c>
      <c r="E7" s="35" t="s">
        <v>81</v>
      </c>
      <c r="F7" s="36" t="s">
        <v>119</v>
      </c>
      <c r="G7" s="36" t="s">
        <v>101</v>
      </c>
      <c r="H7" s="44">
        <v>37</v>
      </c>
      <c r="I7" s="34">
        <v>4</v>
      </c>
      <c r="J7" s="35" t="s">
        <v>226</v>
      </c>
      <c r="K7" s="12">
        <v>42230</v>
      </c>
      <c r="L7" s="13" t="s">
        <v>114</v>
      </c>
      <c r="M7" s="99">
        <v>28.95</v>
      </c>
      <c r="N7" s="99">
        <v>5.125</v>
      </c>
      <c r="O7" s="99">
        <v>1.9</v>
      </c>
      <c r="P7" s="99">
        <v>0.95</v>
      </c>
      <c r="Q7" s="99">
        <v>2.3860000000000001</v>
      </c>
      <c r="R7" s="99">
        <v>32.774999999999999</v>
      </c>
      <c r="S7" s="99">
        <v>3.6749999999999998</v>
      </c>
      <c r="T7" s="99">
        <v>0.45</v>
      </c>
      <c r="U7" s="99">
        <v>2.5000000000000001E-2</v>
      </c>
      <c r="V7" s="99">
        <v>6.1980000000000004</v>
      </c>
      <c r="W7" s="99">
        <v>0</v>
      </c>
      <c r="X7" s="99">
        <v>0</v>
      </c>
      <c r="Y7" s="99">
        <f t="shared" si="5"/>
        <v>36.925000000000004</v>
      </c>
      <c r="Z7" s="99">
        <v>1.407</v>
      </c>
      <c r="AA7" s="100">
        <v>7</v>
      </c>
      <c r="AB7" s="99">
        <v>0</v>
      </c>
      <c r="AC7" s="99">
        <f t="shared" si="0"/>
        <v>5.4054054054054057E-3</v>
      </c>
      <c r="AD7" s="99">
        <v>0</v>
      </c>
      <c r="AE7" s="99">
        <f t="shared" si="1"/>
        <v>0</v>
      </c>
      <c r="AF7" s="99">
        <v>20.68</v>
      </c>
      <c r="AG7" s="99">
        <f t="shared" si="2"/>
        <v>1.5969111969111969E-2</v>
      </c>
      <c r="AH7" s="99">
        <v>0</v>
      </c>
      <c r="AI7" s="99">
        <f t="shared" si="3"/>
        <v>0</v>
      </c>
      <c r="AJ7" s="3"/>
      <c r="AK7" s="3">
        <f t="shared" si="6"/>
        <v>0</v>
      </c>
      <c r="AL7" s="3">
        <f t="shared" si="4"/>
        <v>1024.1600000000001</v>
      </c>
      <c r="AM7" s="3"/>
      <c r="AN7" s="29"/>
      <c r="AO7" s="4"/>
      <c r="AP7" s="5"/>
      <c r="AQ7" s="5"/>
      <c r="AR7" s="5"/>
      <c r="AS7" s="5"/>
    </row>
    <row r="8" spans="1:45" s="6" customFormat="1" ht="23.25">
      <c r="A8" s="35" t="s">
        <v>80</v>
      </c>
      <c r="B8" s="8">
        <v>428</v>
      </c>
      <c r="C8" s="25">
        <v>331</v>
      </c>
      <c r="D8" s="8">
        <v>103</v>
      </c>
      <c r="E8" s="8" t="s">
        <v>82</v>
      </c>
      <c r="F8" s="9">
        <v>47000</v>
      </c>
      <c r="G8" s="36">
        <v>68300</v>
      </c>
      <c r="H8" s="44">
        <v>21.3</v>
      </c>
      <c r="I8" s="34">
        <v>4</v>
      </c>
      <c r="J8" s="8" t="s">
        <v>226</v>
      </c>
      <c r="K8" s="12">
        <v>42230</v>
      </c>
      <c r="L8" s="13" t="s">
        <v>114</v>
      </c>
      <c r="M8" s="99">
        <v>10.53</v>
      </c>
      <c r="N8" s="99">
        <v>3.7</v>
      </c>
      <c r="O8" s="99">
        <v>3.3</v>
      </c>
      <c r="P8" s="99">
        <v>3.85</v>
      </c>
      <c r="Q8" s="99">
        <v>3.4026700000000001</v>
      </c>
      <c r="R8" s="99">
        <v>16.600000000000001</v>
      </c>
      <c r="S8" s="99">
        <v>3.85</v>
      </c>
      <c r="T8" s="99">
        <v>0.65</v>
      </c>
      <c r="U8" s="99">
        <v>0.27500000000000002</v>
      </c>
      <c r="V8" s="99">
        <v>8.0891500000000001</v>
      </c>
      <c r="W8" s="99">
        <v>0</v>
      </c>
      <c r="X8" s="99">
        <v>0</v>
      </c>
      <c r="Y8" s="99">
        <f t="shared" si="5"/>
        <v>21.380000000000003</v>
      </c>
      <c r="Z8" s="99">
        <v>1.3475299999999999</v>
      </c>
      <c r="AA8" s="100">
        <v>364.98</v>
      </c>
      <c r="AB8" s="99">
        <v>0</v>
      </c>
      <c r="AC8" s="99">
        <f t="shared" si="0"/>
        <v>0.48957746478873237</v>
      </c>
      <c r="AD8" s="99">
        <v>0</v>
      </c>
      <c r="AE8" s="99">
        <f t="shared" si="1"/>
        <v>0</v>
      </c>
      <c r="AF8" s="99">
        <v>0</v>
      </c>
      <c r="AG8" s="99">
        <f t="shared" si="2"/>
        <v>0</v>
      </c>
      <c r="AH8" s="99">
        <v>0</v>
      </c>
      <c r="AI8" s="99">
        <f t="shared" si="3"/>
        <v>0</v>
      </c>
      <c r="AJ8" s="3"/>
      <c r="AK8" s="3">
        <f t="shared" si="6"/>
        <v>0</v>
      </c>
      <c r="AL8" s="3">
        <f t="shared" si="4"/>
        <v>7774.0740000000005</v>
      </c>
      <c r="AM8" s="18">
        <f t="shared" ref="AM8:AM24" si="7">SUM(M8:P8)</f>
        <v>21.380000000000003</v>
      </c>
      <c r="AN8" s="28">
        <f t="shared" ref="AN8:AN24" si="8">SUM(R8:U8)</f>
        <v>21.375</v>
      </c>
      <c r="AP8" s="5"/>
      <c r="AQ8" s="5"/>
      <c r="AR8" s="5"/>
      <c r="AS8" s="5"/>
    </row>
    <row r="9" spans="1:45" s="6" customFormat="1" ht="23.25">
      <c r="A9" s="35" t="s">
        <v>80</v>
      </c>
      <c r="B9" s="8">
        <v>428</v>
      </c>
      <c r="C9" s="25">
        <v>331</v>
      </c>
      <c r="D9" s="8">
        <v>103</v>
      </c>
      <c r="E9" s="8" t="s">
        <v>82</v>
      </c>
      <c r="F9" s="9" t="s">
        <v>100</v>
      </c>
      <c r="G9" s="36" t="s">
        <v>101</v>
      </c>
      <c r="H9" s="44">
        <v>21.3</v>
      </c>
      <c r="I9" s="34">
        <v>4</v>
      </c>
      <c r="J9" s="8" t="s">
        <v>94</v>
      </c>
      <c r="K9" s="12">
        <v>42230</v>
      </c>
      <c r="L9" s="13" t="s">
        <v>114</v>
      </c>
      <c r="M9" s="99">
        <v>8.8000000000000007</v>
      </c>
      <c r="N9" s="99">
        <v>4.4749999999999996</v>
      </c>
      <c r="O9" s="99">
        <v>3.25</v>
      </c>
      <c r="P9" s="99">
        <v>4.875</v>
      </c>
      <c r="Q9" s="99">
        <v>3.6321400000000001</v>
      </c>
      <c r="R9" s="99">
        <v>15.2</v>
      </c>
      <c r="S9" s="99">
        <v>4.7750000000000004</v>
      </c>
      <c r="T9" s="99">
        <v>1.0249999999999999</v>
      </c>
      <c r="U9" s="99">
        <v>0.4</v>
      </c>
      <c r="V9" s="99">
        <v>8.7235999999999994</v>
      </c>
      <c r="W9" s="99">
        <v>0</v>
      </c>
      <c r="X9" s="99">
        <v>0</v>
      </c>
      <c r="Y9" s="99">
        <f t="shared" si="5"/>
        <v>21.4</v>
      </c>
      <c r="Z9" s="99">
        <v>1.5423199999999999</v>
      </c>
      <c r="AA9" s="100">
        <v>705.08</v>
      </c>
      <c r="AB9" s="99">
        <v>0</v>
      </c>
      <c r="AC9" s="99">
        <f t="shared" si="0"/>
        <v>0.94578135479543946</v>
      </c>
      <c r="AD9" s="99">
        <v>16.34</v>
      </c>
      <c r="AE9" s="99">
        <f t="shared" si="1"/>
        <v>2.1918175720992625E-2</v>
      </c>
      <c r="AF9" s="99">
        <v>0</v>
      </c>
      <c r="AG9" s="99">
        <f t="shared" si="2"/>
        <v>0</v>
      </c>
      <c r="AH9" s="99">
        <v>0.55000000000000004</v>
      </c>
      <c r="AI9" s="99">
        <f t="shared" si="3"/>
        <v>7.3775989268947025E-4</v>
      </c>
      <c r="AJ9" s="3"/>
      <c r="AK9" s="3">
        <f t="shared" si="6"/>
        <v>0</v>
      </c>
      <c r="AL9" s="3">
        <f t="shared" si="4"/>
        <v>15377.961000000001</v>
      </c>
      <c r="AM9" s="18">
        <f t="shared" si="7"/>
        <v>21.4</v>
      </c>
      <c r="AN9" s="28">
        <f t="shared" si="8"/>
        <v>21.4</v>
      </c>
      <c r="AP9" s="5"/>
      <c r="AQ9" s="5"/>
      <c r="AR9" s="5"/>
      <c r="AS9" s="5"/>
    </row>
    <row r="10" spans="1:45" s="33" customFormat="1" ht="23.25">
      <c r="A10" s="35" t="s">
        <v>80</v>
      </c>
      <c r="B10" s="35">
        <v>428</v>
      </c>
      <c r="C10" s="25">
        <v>332</v>
      </c>
      <c r="D10" s="35">
        <v>100</v>
      </c>
      <c r="E10" s="35" t="s">
        <v>203</v>
      </c>
      <c r="F10" s="36" t="s">
        <v>99</v>
      </c>
      <c r="G10" s="36" t="s">
        <v>204</v>
      </c>
      <c r="H10" s="44">
        <v>14.487</v>
      </c>
      <c r="I10" s="34">
        <v>2</v>
      </c>
      <c r="J10" s="35" t="s">
        <v>227</v>
      </c>
      <c r="K10" s="12">
        <v>42230</v>
      </c>
      <c r="L10" s="13" t="s">
        <v>114</v>
      </c>
      <c r="M10" s="99">
        <v>7.7</v>
      </c>
      <c r="N10" s="99">
        <v>4.8499999999999996</v>
      </c>
      <c r="O10" s="99">
        <v>1.5249999999999999</v>
      </c>
      <c r="P10" s="99">
        <v>0.5</v>
      </c>
      <c r="Q10" s="99">
        <v>2.97</v>
      </c>
      <c r="R10" s="99">
        <v>13.025</v>
      </c>
      <c r="S10" s="99">
        <v>1.45</v>
      </c>
      <c r="T10" s="99">
        <v>0.1</v>
      </c>
      <c r="U10" s="99">
        <v>0</v>
      </c>
      <c r="V10" s="99">
        <v>6.3109999999999999</v>
      </c>
      <c r="W10" s="99">
        <v>0</v>
      </c>
      <c r="X10" s="99">
        <v>0</v>
      </c>
      <c r="Y10" s="99">
        <f t="shared" si="5"/>
        <v>14.575000000000001</v>
      </c>
      <c r="Z10" s="99">
        <v>1.208</v>
      </c>
      <c r="AA10" s="100">
        <v>109.26</v>
      </c>
      <c r="AB10" s="99">
        <v>0</v>
      </c>
      <c r="AC10" s="99">
        <f t="shared" si="0"/>
        <v>0.21548383279590572</v>
      </c>
      <c r="AD10" s="99">
        <v>0</v>
      </c>
      <c r="AE10" s="99">
        <f t="shared" si="1"/>
        <v>0</v>
      </c>
      <c r="AF10" s="99">
        <v>0</v>
      </c>
      <c r="AG10" s="99">
        <f t="shared" si="2"/>
        <v>0</v>
      </c>
      <c r="AH10" s="99">
        <v>0</v>
      </c>
      <c r="AI10" s="99">
        <f t="shared" si="3"/>
        <v>0</v>
      </c>
      <c r="AJ10" s="3"/>
      <c r="AK10" s="3">
        <f t="shared" si="6"/>
        <v>0</v>
      </c>
      <c r="AL10" s="3">
        <f t="shared" si="4"/>
        <v>1582.8496200000002</v>
      </c>
      <c r="AM10" s="18"/>
      <c r="AN10" s="28"/>
      <c r="AP10" s="5"/>
      <c r="AQ10" s="5"/>
      <c r="AR10" s="5"/>
      <c r="AS10" s="5"/>
    </row>
    <row r="11" spans="1:45" s="48" customFormat="1" ht="23.25">
      <c r="A11" s="46" t="s">
        <v>80</v>
      </c>
      <c r="B11" s="46">
        <v>428</v>
      </c>
      <c r="C11" s="25">
        <v>361</v>
      </c>
      <c r="D11" s="46">
        <v>200</v>
      </c>
      <c r="E11" s="46" t="s">
        <v>30</v>
      </c>
      <c r="F11" s="36">
        <v>9000</v>
      </c>
      <c r="G11" s="36">
        <v>14216</v>
      </c>
      <c r="H11" s="44">
        <v>5.2160000000000002</v>
      </c>
      <c r="I11" s="34">
        <v>6</v>
      </c>
      <c r="J11" s="46" t="s">
        <v>226</v>
      </c>
      <c r="K11" s="47">
        <v>42230</v>
      </c>
      <c r="L11" s="13" t="s">
        <v>114</v>
      </c>
      <c r="M11" s="99">
        <v>2.875</v>
      </c>
      <c r="N11" s="99">
        <v>1.675</v>
      </c>
      <c r="O11" s="99">
        <v>0.42499999999999999</v>
      </c>
      <c r="P11" s="99">
        <v>0.05</v>
      </c>
      <c r="Q11" s="99">
        <v>2.6225800000000001</v>
      </c>
      <c r="R11" s="99">
        <v>4.3499999999999996</v>
      </c>
      <c r="S11" s="99">
        <v>0.47499999999999998</v>
      </c>
      <c r="T11" s="99">
        <v>0.1</v>
      </c>
      <c r="U11" s="99">
        <v>0.1</v>
      </c>
      <c r="V11" s="99">
        <v>7.1503899999999998</v>
      </c>
      <c r="W11" s="99">
        <v>0</v>
      </c>
      <c r="X11" s="99">
        <v>0</v>
      </c>
      <c r="Y11" s="99">
        <f t="shared" si="5"/>
        <v>5.0249999999999995</v>
      </c>
      <c r="Z11" s="99">
        <v>1.30298</v>
      </c>
      <c r="AA11" s="100">
        <v>0</v>
      </c>
      <c r="AB11" s="99">
        <v>11.47</v>
      </c>
      <c r="AC11" s="99">
        <f t="shared" si="0"/>
        <v>3.1414329535495181E-2</v>
      </c>
      <c r="AD11" s="99">
        <v>0</v>
      </c>
      <c r="AE11" s="99">
        <f t="shared" si="1"/>
        <v>0</v>
      </c>
      <c r="AF11" s="99">
        <v>0</v>
      </c>
      <c r="AG11" s="99">
        <f t="shared" si="2"/>
        <v>0</v>
      </c>
      <c r="AH11" s="99">
        <v>0</v>
      </c>
      <c r="AI11" s="99">
        <f t="shared" si="3"/>
        <v>0</v>
      </c>
      <c r="AJ11" s="3"/>
      <c r="AK11" s="3">
        <f t="shared" si="6"/>
        <v>5.7350000000000003</v>
      </c>
      <c r="AL11" s="3">
        <f t="shared" si="4"/>
        <v>29.913760000000003</v>
      </c>
      <c r="AM11" s="3">
        <f t="shared" si="7"/>
        <v>5.0249999999999995</v>
      </c>
      <c r="AN11" s="29">
        <f t="shared" si="8"/>
        <v>5.0249999999999986</v>
      </c>
      <c r="AP11" s="5"/>
      <c r="AQ11" s="5"/>
      <c r="AR11" s="5"/>
      <c r="AS11" s="5"/>
    </row>
    <row r="12" spans="1:45" s="48" customFormat="1" ht="23.25">
      <c r="A12" s="46" t="s">
        <v>80</v>
      </c>
      <c r="B12" s="46">
        <v>428</v>
      </c>
      <c r="C12" s="25">
        <v>361</v>
      </c>
      <c r="D12" s="46">
        <v>200</v>
      </c>
      <c r="E12" s="46" t="s">
        <v>30</v>
      </c>
      <c r="F12" s="36" t="s">
        <v>102</v>
      </c>
      <c r="G12" s="36" t="s">
        <v>103</v>
      </c>
      <c r="H12" s="44">
        <v>5.2160000000000002</v>
      </c>
      <c r="I12" s="34">
        <v>6</v>
      </c>
      <c r="J12" s="46" t="s">
        <v>94</v>
      </c>
      <c r="K12" s="47">
        <v>42230</v>
      </c>
      <c r="L12" s="13" t="s">
        <v>114</v>
      </c>
      <c r="M12" s="99">
        <v>2.5</v>
      </c>
      <c r="N12" s="99">
        <v>1.95</v>
      </c>
      <c r="O12" s="99">
        <v>0.625</v>
      </c>
      <c r="P12" s="99">
        <v>0.25</v>
      </c>
      <c r="Q12" s="99">
        <v>2.8747500000000001</v>
      </c>
      <c r="R12" s="99">
        <v>4.7</v>
      </c>
      <c r="S12" s="99">
        <v>0.625</v>
      </c>
      <c r="T12" s="99">
        <v>0</v>
      </c>
      <c r="U12" s="99">
        <v>0</v>
      </c>
      <c r="V12" s="99">
        <v>6.5503099999999996</v>
      </c>
      <c r="W12" s="99">
        <v>0</v>
      </c>
      <c r="X12" s="99">
        <v>0</v>
      </c>
      <c r="Y12" s="99">
        <f t="shared" si="5"/>
        <v>5.3250000000000002</v>
      </c>
      <c r="Z12" s="99">
        <v>1.40863</v>
      </c>
      <c r="AA12" s="100">
        <v>0</v>
      </c>
      <c r="AB12" s="99">
        <v>9.16</v>
      </c>
      <c r="AC12" s="99">
        <f t="shared" si="0"/>
        <v>2.5087642418930762E-2</v>
      </c>
      <c r="AD12" s="99">
        <v>0</v>
      </c>
      <c r="AE12" s="99">
        <f t="shared" si="1"/>
        <v>0</v>
      </c>
      <c r="AF12" s="99">
        <v>0</v>
      </c>
      <c r="AG12" s="99">
        <f t="shared" si="2"/>
        <v>0</v>
      </c>
      <c r="AH12" s="99">
        <v>0</v>
      </c>
      <c r="AI12" s="99">
        <f t="shared" si="3"/>
        <v>0</v>
      </c>
      <c r="AJ12" s="3"/>
      <c r="AK12" s="3">
        <f t="shared" si="6"/>
        <v>4.58</v>
      </c>
      <c r="AL12" s="3">
        <f t="shared" si="4"/>
        <v>23.889280000000003</v>
      </c>
      <c r="AM12" s="3">
        <f t="shared" si="7"/>
        <v>5.3250000000000002</v>
      </c>
      <c r="AN12" s="29">
        <f t="shared" si="8"/>
        <v>5.3250000000000002</v>
      </c>
      <c r="AP12" s="5"/>
      <c r="AQ12" s="5"/>
      <c r="AR12" s="5"/>
      <c r="AS12" s="5"/>
    </row>
    <row r="13" spans="1:45" s="48" customFormat="1" ht="23.25">
      <c r="A13" s="46" t="s">
        <v>80</v>
      </c>
      <c r="B13" s="46">
        <v>428</v>
      </c>
      <c r="C13" s="25">
        <v>3126</v>
      </c>
      <c r="D13" s="46">
        <v>100</v>
      </c>
      <c r="E13" s="46" t="s">
        <v>83</v>
      </c>
      <c r="F13" s="36">
        <v>0</v>
      </c>
      <c r="G13" s="36">
        <v>11163</v>
      </c>
      <c r="H13" s="44">
        <v>11.163</v>
      </c>
      <c r="I13" s="34">
        <v>2</v>
      </c>
      <c r="J13" s="46" t="s">
        <v>227</v>
      </c>
      <c r="K13" s="47">
        <v>42230</v>
      </c>
      <c r="L13" s="13" t="s">
        <v>114</v>
      </c>
      <c r="M13" s="99">
        <v>6.65</v>
      </c>
      <c r="N13" s="99">
        <v>3.75</v>
      </c>
      <c r="O13" s="99">
        <v>0.625</v>
      </c>
      <c r="P13" s="99">
        <v>0.17499999999999999</v>
      </c>
      <c r="Q13" s="99">
        <v>2.4752100000000001</v>
      </c>
      <c r="R13" s="99">
        <v>9.9250000000000007</v>
      </c>
      <c r="S13" s="99">
        <v>1.2749999999999999</v>
      </c>
      <c r="T13" s="99">
        <v>0</v>
      </c>
      <c r="U13" s="99">
        <v>0</v>
      </c>
      <c r="V13" s="99">
        <v>6.7085800000000004</v>
      </c>
      <c r="W13" s="99">
        <v>0</v>
      </c>
      <c r="X13" s="99">
        <v>0</v>
      </c>
      <c r="Y13" s="99">
        <f t="shared" si="5"/>
        <v>11.200000000000001</v>
      </c>
      <c r="Z13" s="99">
        <v>1.31562</v>
      </c>
      <c r="AA13" s="100">
        <v>2.1</v>
      </c>
      <c r="AB13" s="99">
        <v>0</v>
      </c>
      <c r="AC13" s="99">
        <f t="shared" si="0"/>
        <v>5.3748992206396132E-3</v>
      </c>
      <c r="AD13" s="99">
        <v>0</v>
      </c>
      <c r="AE13" s="99">
        <f t="shared" si="1"/>
        <v>0</v>
      </c>
      <c r="AF13" s="99">
        <v>0</v>
      </c>
      <c r="AG13" s="99">
        <f t="shared" si="2"/>
        <v>0</v>
      </c>
      <c r="AH13" s="99">
        <v>0</v>
      </c>
      <c r="AI13" s="99">
        <f t="shared" si="3"/>
        <v>0</v>
      </c>
      <c r="AJ13" s="3"/>
      <c r="AK13" s="3">
        <f t="shared" si="6"/>
        <v>0</v>
      </c>
      <c r="AL13" s="3">
        <f t="shared" si="4"/>
        <v>23.442300000000003</v>
      </c>
      <c r="AM13" s="3">
        <f t="shared" si="7"/>
        <v>11.200000000000001</v>
      </c>
      <c r="AN13" s="29">
        <f t="shared" si="8"/>
        <v>11.200000000000001</v>
      </c>
      <c r="AP13" s="5"/>
      <c r="AQ13" s="5"/>
      <c r="AR13" s="5"/>
      <c r="AS13" s="5"/>
    </row>
    <row r="14" spans="1:45" s="48" customFormat="1" ht="23.25">
      <c r="A14" s="46" t="s">
        <v>80</v>
      </c>
      <c r="B14" s="46">
        <v>428</v>
      </c>
      <c r="C14" s="25">
        <v>3134</v>
      </c>
      <c r="D14" s="46">
        <v>100</v>
      </c>
      <c r="E14" s="46" t="s">
        <v>84</v>
      </c>
      <c r="F14" s="36">
        <v>0</v>
      </c>
      <c r="G14" s="36">
        <v>7533</v>
      </c>
      <c r="H14" s="44">
        <v>7.5330000000000004</v>
      </c>
      <c r="I14" s="34">
        <v>6</v>
      </c>
      <c r="J14" s="46" t="s">
        <v>226</v>
      </c>
      <c r="K14" s="47">
        <v>42230</v>
      </c>
      <c r="L14" s="13" t="s">
        <v>114</v>
      </c>
      <c r="M14" s="99">
        <v>4.05</v>
      </c>
      <c r="N14" s="99">
        <v>2.2250000000000001</v>
      </c>
      <c r="O14" s="99">
        <v>1.0249999999999999</v>
      </c>
      <c r="P14" s="99">
        <v>0.27500000000000002</v>
      </c>
      <c r="Q14" s="99">
        <v>2.8803700000000001</v>
      </c>
      <c r="R14" s="99">
        <v>5.7</v>
      </c>
      <c r="S14" s="99">
        <v>1.625</v>
      </c>
      <c r="T14" s="99">
        <v>0.2</v>
      </c>
      <c r="U14" s="99">
        <v>0.05</v>
      </c>
      <c r="V14" s="99">
        <v>7.3857699999999999</v>
      </c>
      <c r="W14" s="99">
        <v>0</v>
      </c>
      <c r="X14" s="99">
        <v>0</v>
      </c>
      <c r="Y14" s="99">
        <f t="shared" si="5"/>
        <v>7.5750000000000011</v>
      </c>
      <c r="Z14" s="99">
        <v>1.14228</v>
      </c>
      <c r="AA14" s="100">
        <v>5.9</v>
      </c>
      <c r="AB14" s="99">
        <v>11.78</v>
      </c>
      <c r="AC14" s="99">
        <f t="shared" si="0"/>
        <v>4.4717528588496328E-2</v>
      </c>
      <c r="AD14" s="99">
        <v>0</v>
      </c>
      <c r="AE14" s="99">
        <f t="shared" si="1"/>
        <v>0</v>
      </c>
      <c r="AF14" s="99">
        <v>0</v>
      </c>
      <c r="AG14" s="99">
        <f t="shared" si="2"/>
        <v>0</v>
      </c>
      <c r="AH14" s="99">
        <v>0</v>
      </c>
      <c r="AI14" s="99">
        <f t="shared" si="3"/>
        <v>0</v>
      </c>
      <c r="AJ14" s="3"/>
      <c r="AK14" s="3">
        <f t="shared" si="6"/>
        <v>5.89</v>
      </c>
      <c r="AL14" s="3">
        <f t="shared" si="4"/>
        <v>88.814070000000001</v>
      </c>
      <c r="AM14" s="3">
        <f t="shared" si="7"/>
        <v>7.5750000000000011</v>
      </c>
      <c r="AN14" s="29">
        <f t="shared" si="8"/>
        <v>7.5750000000000002</v>
      </c>
      <c r="AP14" s="5"/>
      <c r="AQ14" s="5"/>
      <c r="AR14" s="5"/>
      <c r="AS14" s="5"/>
    </row>
    <row r="15" spans="1:45" s="48" customFormat="1" ht="23.25">
      <c r="A15" s="46" t="s">
        <v>80</v>
      </c>
      <c r="B15" s="46">
        <v>428</v>
      </c>
      <c r="C15" s="25">
        <v>3134</v>
      </c>
      <c r="D15" s="46">
        <v>100</v>
      </c>
      <c r="E15" s="46" t="s">
        <v>84</v>
      </c>
      <c r="F15" s="36" t="s">
        <v>104</v>
      </c>
      <c r="G15" s="36" t="s">
        <v>99</v>
      </c>
      <c r="H15" s="44">
        <v>7.5330000000000004</v>
      </c>
      <c r="I15" s="34">
        <v>6</v>
      </c>
      <c r="J15" s="46" t="s">
        <v>94</v>
      </c>
      <c r="K15" s="47">
        <v>42230</v>
      </c>
      <c r="L15" s="13" t="s">
        <v>114</v>
      </c>
      <c r="M15" s="147">
        <v>4.2</v>
      </c>
      <c r="N15" s="147">
        <v>2.25</v>
      </c>
      <c r="O15" s="147">
        <v>0.875</v>
      </c>
      <c r="P15" s="147">
        <v>0.2</v>
      </c>
      <c r="Q15" s="147">
        <v>2.7742100000000001</v>
      </c>
      <c r="R15" s="147">
        <v>7.0250000000000004</v>
      </c>
      <c r="S15" s="147">
        <v>0.42499999999999999</v>
      </c>
      <c r="T15" s="147">
        <v>0.05</v>
      </c>
      <c r="U15" s="147">
        <v>2.5000000000000001E-2</v>
      </c>
      <c r="V15" s="147">
        <v>6.25631</v>
      </c>
      <c r="W15" s="147">
        <v>0</v>
      </c>
      <c r="X15" s="147">
        <v>0</v>
      </c>
      <c r="Y15" s="147">
        <f t="shared" si="5"/>
        <v>7.5250000000000004</v>
      </c>
      <c r="Z15" s="147">
        <v>1.2153799999999999</v>
      </c>
      <c r="AA15" s="100">
        <v>3.47</v>
      </c>
      <c r="AB15" s="99">
        <v>14.19</v>
      </c>
      <c r="AC15" s="99">
        <f t="shared" si="0"/>
        <v>4.0071305304280214E-2</v>
      </c>
      <c r="AD15" s="99">
        <v>0</v>
      </c>
      <c r="AE15" s="99">
        <f t="shared" si="1"/>
        <v>0</v>
      </c>
      <c r="AF15" s="99">
        <v>0</v>
      </c>
      <c r="AG15" s="99">
        <f t="shared" si="2"/>
        <v>0</v>
      </c>
      <c r="AH15" s="99">
        <v>0</v>
      </c>
      <c r="AI15" s="99">
        <f t="shared" si="3"/>
        <v>0</v>
      </c>
      <c r="AJ15" s="3"/>
      <c r="AK15" s="3">
        <f t="shared" si="6"/>
        <v>7.0949999999999998</v>
      </c>
      <c r="AL15" s="3">
        <f t="shared" si="4"/>
        <v>79.586145000000002</v>
      </c>
      <c r="AM15" s="3">
        <f t="shared" si="7"/>
        <v>7.5250000000000004</v>
      </c>
      <c r="AN15" s="29">
        <f t="shared" si="8"/>
        <v>7.5250000000000004</v>
      </c>
      <c r="AP15" s="5"/>
      <c r="AQ15" s="5"/>
      <c r="AR15" s="5"/>
      <c r="AS15" s="5"/>
    </row>
    <row r="16" spans="1:45" s="6" customFormat="1" ht="23.25">
      <c r="A16" s="35" t="s">
        <v>80</v>
      </c>
      <c r="B16" s="8">
        <v>428</v>
      </c>
      <c r="C16" s="25">
        <v>3240</v>
      </c>
      <c r="D16" s="8">
        <v>101</v>
      </c>
      <c r="E16" s="8" t="s">
        <v>85</v>
      </c>
      <c r="F16" s="9" t="s">
        <v>105</v>
      </c>
      <c r="G16" s="36" t="s">
        <v>106</v>
      </c>
      <c r="H16" s="44">
        <v>11.1</v>
      </c>
      <c r="I16" s="34">
        <v>2</v>
      </c>
      <c r="J16" s="8" t="s">
        <v>95</v>
      </c>
      <c r="K16" s="12">
        <v>42232</v>
      </c>
      <c r="L16" s="13" t="s">
        <v>114</v>
      </c>
      <c r="M16" s="147">
        <v>4.3499999999999996</v>
      </c>
      <c r="N16" s="147">
        <v>3.9750000000000001</v>
      </c>
      <c r="O16" s="147">
        <v>2.25</v>
      </c>
      <c r="P16" s="147">
        <v>0.55000000000000004</v>
      </c>
      <c r="Q16" s="147">
        <v>2.8723399999999999</v>
      </c>
      <c r="R16" s="147">
        <v>10.574999999999999</v>
      </c>
      <c r="S16" s="147">
        <v>0.52500000000000002</v>
      </c>
      <c r="T16" s="147">
        <v>2.5000000000000001E-2</v>
      </c>
      <c r="U16" s="147">
        <v>0</v>
      </c>
      <c r="V16" s="147">
        <v>4.3062699999999996</v>
      </c>
      <c r="W16" s="147">
        <v>0</v>
      </c>
      <c r="X16" s="147">
        <v>0</v>
      </c>
      <c r="Y16" s="147">
        <f t="shared" si="5"/>
        <v>11.125</v>
      </c>
      <c r="Z16" s="147">
        <v>1.0995900000000001</v>
      </c>
      <c r="AA16" s="100">
        <v>0</v>
      </c>
      <c r="AB16" s="99">
        <v>3.78</v>
      </c>
      <c r="AC16" s="99">
        <f t="shared" si="0"/>
        <v>4.8648648648648646E-3</v>
      </c>
      <c r="AD16" s="99">
        <v>0</v>
      </c>
      <c r="AE16" s="99">
        <f t="shared" si="1"/>
        <v>0</v>
      </c>
      <c r="AF16" s="99">
        <v>0</v>
      </c>
      <c r="AG16" s="99">
        <f t="shared" si="2"/>
        <v>0</v>
      </c>
      <c r="AH16" s="99">
        <v>0.31</v>
      </c>
      <c r="AI16" s="99">
        <f t="shared" si="3"/>
        <v>7.9794079794079788E-4</v>
      </c>
      <c r="AJ16" s="3"/>
      <c r="AK16" s="3">
        <f t="shared" si="6"/>
        <v>1.89</v>
      </c>
      <c r="AL16" s="3">
        <f t="shared" si="4"/>
        <v>24.419999999999995</v>
      </c>
      <c r="AM16" s="3">
        <f t="shared" si="7"/>
        <v>11.125</v>
      </c>
      <c r="AN16" s="29">
        <f t="shared" si="8"/>
        <v>11.125</v>
      </c>
      <c r="AP16" s="5"/>
      <c r="AQ16" s="5"/>
      <c r="AR16" s="5"/>
      <c r="AS16" s="5"/>
    </row>
    <row r="17" spans="1:45" s="117" customFormat="1" ht="23.25">
      <c r="A17" s="142" t="s">
        <v>80</v>
      </c>
      <c r="B17" s="142">
        <v>428</v>
      </c>
      <c r="C17" s="136">
        <v>3240</v>
      </c>
      <c r="D17" s="142">
        <v>102</v>
      </c>
      <c r="E17" s="142" t="s">
        <v>86</v>
      </c>
      <c r="F17" s="119" t="s">
        <v>107</v>
      </c>
      <c r="G17" s="119" t="s">
        <v>105</v>
      </c>
      <c r="H17" s="44">
        <v>6.1740000000000004</v>
      </c>
      <c r="I17" s="137">
        <v>2</v>
      </c>
      <c r="J17" s="142" t="s">
        <v>95</v>
      </c>
      <c r="K17" s="141">
        <v>42232</v>
      </c>
      <c r="L17" s="13" t="s">
        <v>114</v>
      </c>
      <c r="M17" s="147">
        <v>5.2</v>
      </c>
      <c r="N17" s="147">
        <v>0.77500000000000002</v>
      </c>
      <c r="O17" s="147">
        <v>0.1</v>
      </c>
      <c r="P17" s="147">
        <v>0.1</v>
      </c>
      <c r="Q17" s="147">
        <v>2.8116300000000001</v>
      </c>
      <c r="R17" s="147">
        <v>6.15</v>
      </c>
      <c r="S17" s="147">
        <v>2.5000000000000001E-2</v>
      </c>
      <c r="T17" s="147">
        <v>0</v>
      </c>
      <c r="U17" s="147">
        <v>0</v>
      </c>
      <c r="V17" s="147">
        <v>4.4575699999999996</v>
      </c>
      <c r="W17" s="147">
        <v>0</v>
      </c>
      <c r="X17" s="147">
        <v>0</v>
      </c>
      <c r="Y17" s="147">
        <f t="shared" si="5"/>
        <v>6.1749999999999998</v>
      </c>
      <c r="Z17" s="147">
        <v>1.0623100000000001</v>
      </c>
      <c r="AA17" s="100">
        <v>0</v>
      </c>
      <c r="AB17" s="147">
        <v>0</v>
      </c>
      <c r="AC17" s="147">
        <f t="shared" si="0"/>
        <v>0</v>
      </c>
      <c r="AD17" s="147">
        <v>0</v>
      </c>
      <c r="AE17" s="147">
        <f t="shared" si="1"/>
        <v>0</v>
      </c>
      <c r="AF17" s="147">
        <v>0</v>
      </c>
      <c r="AG17" s="147">
        <f t="shared" si="2"/>
        <v>0</v>
      </c>
      <c r="AH17" s="147">
        <v>0</v>
      </c>
      <c r="AI17" s="147">
        <f t="shared" si="3"/>
        <v>0</v>
      </c>
      <c r="AJ17" s="138"/>
      <c r="AK17" s="138">
        <f t="shared" si="6"/>
        <v>0</v>
      </c>
      <c r="AL17" s="138">
        <f t="shared" si="4"/>
        <v>0</v>
      </c>
      <c r="AM17" s="138">
        <f t="shared" si="7"/>
        <v>6.1749999999999998</v>
      </c>
      <c r="AN17" s="29">
        <f t="shared" si="8"/>
        <v>6.1750000000000007</v>
      </c>
      <c r="AP17" s="5"/>
      <c r="AQ17" s="5"/>
      <c r="AR17" s="5"/>
      <c r="AS17" s="5"/>
    </row>
    <row r="18" spans="1:45" s="6" customFormat="1" ht="23.25">
      <c r="A18" s="82" t="s">
        <v>80</v>
      </c>
      <c r="B18" s="82">
        <v>428</v>
      </c>
      <c r="C18" s="25">
        <v>3241</v>
      </c>
      <c r="D18" s="8">
        <v>101</v>
      </c>
      <c r="E18" s="8" t="s">
        <v>87</v>
      </c>
      <c r="F18" s="16">
        <v>2050</v>
      </c>
      <c r="G18" s="36">
        <v>14000</v>
      </c>
      <c r="H18" s="44">
        <v>11.95</v>
      </c>
      <c r="I18" s="34">
        <v>2</v>
      </c>
      <c r="J18" s="8" t="s">
        <v>95</v>
      </c>
      <c r="K18" s="12">
        <v>42230</v>
      </c>
      <c r="L18" s="13" t="s">
        <v>114</v>
      </c>
      <c r="M18" s="147">
        <v>4.9249999999999998</v>
      </c>
      <c r="N18" s="147">
        <v>4.05</v>
      </c>
      <c r="O18" s="147">
        <v>1.65</v>
      </c>
      <c r="P18" s="147">
        <v>1.4</v>
      </c>
      <c r="Q18" s="147">
        <v>3.6547299999999998</v>
      </c>
      <c r="R18" s="147">
        <v>9.6</v>
      </c>
      <c r="S18" s="147">
        <v>1.575</v>
      </c>
      <c r="T18" s="147">
        <v>0.55000000000000004</v>
      </c>
      <c r="U18" s="147">
        <v>0.3</v>
      </c>
      <c r="V18" s="147">
        <v>7.8782699999999997</v>
      </c>
      <c r="W18" s="147">
        <v>0</v>
      </c>
      <c r="X18" s="147">
        <v>0</v>
      </c>
      <c r="Y18" s="147">
        <f t="shared" si="5"/>
        <v>12.025</v>
      </c>
      <c r="Z18" s="147">
        <v>1.09992</v>
      </c>
      <c r="AA18" s="100">
        <v>153.93</v>
      </c>
      <c r="AB18" s="99">
        <v>0</v>
      </c>
      <c r="AC18" s="99">
        <f t="shared" si="0"/>
        <v>0.36803347280334736</v>
      </c>
      <c r="AD18" s="99">
        <v>0</v>
      </c>
      <c r="AE18" s="99">
        <f t="shared" si="1"/>
        <v>0</v>
      </c>
      <c r="AF18" s="99">
        <v>0</v>
      </c>
      <c r="AG18" s="99">
        <f t="shared" si="2"/>
        <v>0</v>
      </c>
      <c r="AH18" s="99">
        <v>0</v>
      </c>
      <c r="AI18" s="99">
        <f t="shared" si="3"/>
        <v>0</v>
      </c>
      <c r="AJ18" s="3"/>
      <c r="AK18" s="3">
        <f t="shared" si="6"/>
        <v>0</v>
      </c>
      <c r="AL18" s="3">
        <f t="shared" si="4"/>
        <v>1839.4635000000001</v>
      </c>
      <c r="AM18" s="3">
        <f t="shared" si="7"/>
        <v>12.025</v>
      </c>
      <c r="AN18" s="29">
        <f t="shared" si="8"/>
        <v>12.025</v>
      </c>
      <c r="AP18" s="5"/>
      <c r="AQ18" s="5"/>
      <c r="AR18" s="5"/>
      <c r="AS18" s="5"/>
    </row>
    <row r="19" spans="1:45" s="6" customFormat="1" ht="23.25">
      <c r="A19" s="82" t="s">
        <v>80</v>
      </c>
      <c r="B19" s="82">
        <v>428</v>
      </c>
      <c r="C19" s="25">
        <v>3241</v>
      </c>
      <c r="D19" s="8">
        <v>102</v>
      </c>
      <c r="E19" s="8" t="s">
        <v>88</v>
      </c>
      <c r="F19" s="9">
        <v>14000</v>
      </c>
      <c r="G19" s="36">
        <v>27009</v>
      </c>
      <c r="H19" s="44">
        <v>13.009</v>
      </c>
      <c r="I19" s="34">
        <v>2</v>
      </c>
      <c r="J19" s="8" t="s">
        <v>227</v>
      </c>
      <c r="K19" s="12">
        <v>42230</v>
      </c>
      <c r="L19" s="13" t="s">
        <v>114</v>
      </c>
      <c r="M19" s="147">
        <v>7.3</v>
      </c>
      <c r="N19" s="147">
        <v>3.5249999999999999</v>
      </c>
      <c r="O19" s="147">
        <v>1.075</v>
      </c>
      <c r="P19" s="147">
        <v>0.35</v>
      </c>
      <c r="Q19" s="147">
        <v>2.5157099999999999</v>
      </c>
      <c r="R19" s="147">
        <v>10.525</v>
      </c>
      <c r="S19" s="147">
        <v>1.675</v>
      </c>
      <c r="T19" s="147">
        <v>0.05</v>
      </c>
      <c r="U19" s="147">
        <v>0</v>
      </c>
      <c r="V19" s="147">
        <v>7.2427900000000003</v>
      </c>
      <c r="W19" s="147">
        <v>0</v>
      </c>
      <c r="X19" s="147">
        <v>0</v>
      </c>
      <c r="Y19" s="147">
        <f t="shared" si="5"/>
        <v>12.249999999999998</v>
      </c>
      <c r="Z19" s="147">
        <v>1.2768600000000001</v>
      </c>
      <c r="AA19" s="100">
        <v>134.66999999999999</v>
      </c>
      <c r="AB19" s="99">
        <v>0</v>
      </c>
      <c r="AC19" s="99">
        <f t="shared" si="0"/>
        <v>0.29577325587779885</v>
      </c>
      <c r="AD19" s="99">
        <v>0</v>
      </c>
      <c r="AE19" s="99">
        <f t="shared" si="1"/>
        <v>0</v>
      </c>
      <c r="AF19" s="99">
        <v>0</v>
      </c>
      <c r="AG19" s="99">
        <f t="shared" si="2"/>
        <v>0</v>
      </c>
      <c r="AH19" s="99">
        <v>0</v>
      </c>
      <c r="AI19" s="99">
        <f t="shared" si="3"/>
        <v>0</v>
      </c>
      <c r="AJ19" s="3"/>
      <c r="AK19" s="3">
        <f t="shared" si="6"/>
        <v>0</v>
      </c>
      <c r="AL19" s="3">
        <f t="shared" si="4"/>
        <v>1751.9220299999999</v>
      </c>
      <c r="AM19" s="3">
        <f t="shared" si="7"/>
        <v>12.249999999999998</v>
      </c>
      <c r="AN19" s="29">
        <f t="shared" si="8"/>
        <v>12.250000000000002</v>
      </c>
      <c r="AP19" s="5"/>
      <c r="AQ19" s="5"/>
      <c r="AR19" s="5"/>
      <c r="AS19" s="5"/>
    </row>
    <row r="20" spans="1:45" s="6" customFormat="1" ht="23.25">
      <c r="A20" s="82" t="s">
        <v>80</v>
      </c>
      <c r="B20" s="82">
        <v>428</v>
      </c>
      <c r="C20" s="26">
        <v>3245</v>
      </c>
      <c r="D20" s="8">
        <v>200</v>
      </c>
      <c r="E20" s="8" t="s">
        <v>93</v>
      </c>
      <c r="F20" s="17">
        <v>16800</v>
      </c>
      <c r="G20" s="17">
        <v>34000</v>
      </c>
      <c r="H20" s="44">
        <v>17.2</v>
      </c>
      <c r="I20" s="34">
        <v>4</v>
      </c>
      <c r="J20" s="8" t="s">
        <v>94</v>
      </c>
      <c r="K20" s="12">
        <v>42230</v>
      </c>
      <c r="L20" s="13" t="s">
        <v>114</v>
      </c>
      <c r="M20" s="99">
        <v>7.2750000000000004</v>
      </c>
      <c r="N20" s="99">
        <v>3.4750000000000001</v>
      </c>
      <c r="O20" s="99">
        <v>3</v>
      </c>
      <c r="P20" s="99">
        <v>3.15</v>
      </c>
      <c r="Q20" s="99">
        <v>2.8768199999999999</v>
      </c>
      <c r="R20" s="99">
        <v>14.85</v>
      </c>
      <c r="S20" s="99">
        <v>1.9</v>
      </c>
      <c r="T20" s="99">
        <v>0.125</v>
      </c>
      <c r="U20" s="99">
        <v>2.5000000000000001E-2</v>
      </c>
      <c r="V20" s="99">
        <v>7.1070099999999998</v>
      </c>
      <c r="W20" s="99">
        <v>0</v>
      </c>
      <c r="X20" s="99">
        <v>0</v>
      </c>
      <c r="Y20" s="99">
        <f t="shared" si="5"/>
        <v>16.899999999999999</v>
      </c>
      <c r="Z20" s="99">
        <v>1.4752099999999999</v>
      </c>
      <c r="AA20" s="100">
        <v>2275.98</v>
      </c>
      <c r="AB20" s="99">
        <v>0</v>
      </c>
      <c r="AC20" s="99">
        <f t="shared" si="0"/>
        <v>3.7806976744186054</v>
      </c>
      <c r="AD20" s="99">
        <v>7.14</v>
      </c>
      <c r="AE20" s="99">
        <f t="shared" si="1"/>
        <v>1.1860465116279072E-2</v>
      </c>
      <c r="AF20" s="99">
        <v>200</v>
      </c>
      <c r="AG20" s="99">
        <f t="shared" si="2"/>
        <v>0.33222591362126253</v>
      </c>
      <c r="AH20" s="99">
        <v>2.2999999999999998</v>
      </c>
      <c r="AI20" s="99">
        <f t="shared" si="3"/>
        <v>3.8205980066445188E-3</v>
      </c>
      <c r="AJ20" s="3"/>
      <c r="AK20" s="3">
        <f t="shared" si="6"/>
        <v>0</v>
      </c>
      <c r="AL20" s="3">
        <f t="shared" si="4"/>
        <v>42749.224000000002</v>
      </c>
      <c r="AM20" s="18">
        <f t="shared" si="7"/>
        <v>16.899999999999999</v>
      </c>
      <c r="AN20" s="28">
        <f t="shared" si="8"/>
        <v>16.899999999999999</v>
      </c>
      <c r="AP20" s="5"/>
      <c r="AQ20" s="5"/>
      <c r="AR20" s="5"/>
      <c r="AS20" s="5"/>
    </row>
    <row r="21" spans="1:45" s="33" customFormat="1" ht="23.25">
      <c r="A21" s="82" t="s">
        <v>80</v>
      </c>
      <c r="B21" s="82">
        <v>428</v>
      </c>
      <c r="C21" s="26">
        <v>3245</v>
      </c>
      <c r="D21" s="35">
        <v>200</v>
      </c>
      <c r="E21" s="35" t="s">
        <v>93</v>
      </c>
      <c r="F21" s="17" t="s">
        <v>201</v>
      </c>
      <c r="G21" s="17" t="s">
        <v>202</v>
      </c>
      <c r="H21" s="44">
        <v>17.2</v>
      </c>
      <c r="I21" s="34">
        <v>4</v>
      </c>
      <c r="J21" s="35" t="s">
        <v>226</v>
      </c>
      <c r="K21" s="12">
        <v>42230</v>
      </c>
      <c r="L21" s="13" t="s">
        <v>114</v>
      </c>
      <c r="M21" s="99">
        <v>7.95</v>
      </c>
      <c r="N21" s="99">
        <v>3.0249999999999999</v>
      </c>
      <c r="O21" s="99">
        <v>2.8</v>
      </c>
      <c r="P21" s="99">
        <v>3.35</v>
      </c>
      <c r="Q21" s="99">
        <v>3.476</v>
      </c>
      <c r="R21" s="99">
        <v>14.675000000000001</v>
      </c>
      <c r="S21" s="99">
        <v>2.125</v>
      </c>
      <c r="T21" s="99">
        <v>0.32500000000000001</v>
      </c>
      <c r="U21" s="99">
        <v>0</v>
      </c>
      <c r="V21" s="99">
        <v>6.8570000000000002</v>
      </c>
      <c r="W21" s="99">
        <v>0</v>
      </c>
      <c r="X21" s="99">
        <v>0</v>
      </c>
      <c r="Y21" s="99">
        <f t="shared" si="5"/>
        <v>17.125</v>
      </c>
      <c r="Z21" s="99">
        <v>1.6160000000000001</v>
      </c>
      <c r="AA21" s="100">
        <v>583.75</v>
      </c>
      <c r="AB21" s="99">
        <v>0</v>
      </c>
      <c r="AC21" s="99">
        <f t="shared" si="0"/>
        <v>0.96968438538205992</v>
      </c>
      <c r="AD21" s="99">
        <v>2.94</v>
      </c>
      <c r="AE21" s="99">
        <f t="shared" si="1"/>
        <v>4.8837209302325588E-3</v>
      </c>
      <c r="AF21" s="99">
        <v>51.85</v>
      </c>
      <c r="AG21" s="99">
        <f t="shared" si="2"/>
        <v>8.612956810631231E-2</v>
      </c>
      <c r="AH21" s="99">
        <v>0.52</v>
      </c>
      <c r="AI21" s="99">
        <f t="shared" si="3"/>
        <v>8.6378737541528249E-4</v>
      </c>
      <c r="AJ21" s="3"/>
      <c r="AK21" s="3">
        <f t="shared" si="6"/>
        <v>0</v>
      </c>
      <c r="AL21" s="3">
        <f t="shared" si="4"/>
        <v>10991.832</v>
      </c>
      <c r="AM21" s="18"/>
      <c r="AN21" s="28"/>
      <c r="AP21" s="5"/>
      <c r="AQ21" s="5"/>
      <c r="AR21" s="5"/>
      <c r="AS21" s="5"/>
    </row>
    <row r="22" spans="1:45" s="6" customFormat="1" ht="23.25">
      <c r="A22" s="82" t="s">
        <v>80</v>
      </c>
      <c r="B22" s="82">
        <v>428</v>
      </c>
      <c r="C22" s="25">
        <v>3573</v>
      </c>
      <c r="D22" s="8">
        <v>100</v>
      </c>
      <c r="E22" s="8" t="s">
        <v>89</v>
      </c>
      <c r="F22" s="9" t="s">
        <v>108</v>
      </c>
      <c r="G22" s="36" t="s">
        <v>99</v>
      </c>
      <c r="H22" s="44">
        <v>2.335</v>
      </c>
      <c r="I22" s="34">
        <v>2</v>
      </c>
      <c r="J22" s="8" t="s">
        <v>95</v>
      </c>
      <c r="K22" s="12">
        <v>42230</v>
      </c>
      <c r="L22" s="13" t="s">
        <v>114</v>
      </c>
      <c r="M22" s="99">
        <v>1.0249999999999999</v>
      </c>
      <c r="N22" s="99">
        <v>0.875</v>
      </c>
      <c r="O22" s="99">
        <v>0.32500000000000001</v>
      </c>
      <c r="P22" s="99">
        <v>0.125</v>
      </c>
      <c r="Q22" s="99">
        <v>2.9154300000000002</v>
      </c>
      <c r="R22" s="99">
        <v>2.15</v>
      </c>
      <c r="S22" s="99">
        <v>0.17499999999999999</v>
      </c>
      <c r="T22" s="99">
        <v>2.5000000000000001E-2</v>
      </c>
      <c r="U22" s="99">
        <v>0</v>
      </c>
      <c r="V22" s="99">
        <v>7.7088900000000002</v>
      </c>
      <c r="W22" s="99">
        <v>0</v>
      </c>
      <c r="X22" s="99">
        <v>0</v>
      </c>
      <c r="Y22" s="99">
        <f t="shared" si="5"/>
        <v>2.35</v>
      </c>
      <c r="Z22" s="99">
        <v>1.2273000000000001</v>
      </c>
      <c r="AA22" s="100">
        <v>19.739999999999998</v>
      </c>
      <c r="AB22" s="99">
        <v>0</v>
      </c>
      <c r="AC22" s="99">
        <f t="shared" si="0"/>
        <v>0.24154175588865096</v>
      </c>
      <c r="AD22" s="99">
        <v>0</v>
      </c>
      <c r="AE22" s="99">
        <f t="shared" si="1"/>
        <v>0</v>
      </c>
      <c r="AF22" s="99">
        <v>0</v>
      </c>
      <c r="AG22" s="99">
        <f t="shared" si="2"/>
        <v>0</v>
      </c>
      <c r="AH22" s="99">
        <v>0</v>
      </c>
      <c r="AI22" s="99">
        <f t="shared" si="3"/>
        <v>0</v>
      </c>
      <c r="AJ22" s="3"/>
      <c r="AK22" s="3">
        <f t="shared" si="6"/>
        <v>0</v>
      </c>
      <c r="AL22" s="3">
        <f t="shared" si="4"/>
        <v>46.092899999999993</v>
      </c>
      <c r="AM22" s="3">
        <f t="shared" si="7"/>
        <v>2.35</v>
      </c>
      <c r="AN22" s="29">
        <f t="shared" si="8"/>
        <v>2.3499999999999996</v>
      </c>
      <c r="AP22" s="5"/>
      <c r="AQ22" s="5"/>
      <c r="AR22" s="5"/>
      <c r="AS22" s="5"/>
    </row>
    <row r="23" spans="1:45" s="6" customFormat="1" ht="23.25">
      <c r="A23" s="82" t="s">
        <v>80</v>
      </c>
      <c r="B23" s="82">
        <v>428</v>
      </c>
      <c r="C23" s="25">
        <v>3574</v>
      </c>
      <c r="D23" s="8">
        <v>100</v>
      </c>
      <c r="E23" s="8" t="s">
        <v>90</v>
      </c>
      <c r="F23" s="9">
        <v>0</v>
      </c>
      <c r="G23" s="36">
        <v>14000</v>
      </c>
      <c r="H23" s="44">
        <v>14</v>
      </c>
      <c r="I23" s="34">
        <v>2</v>
      </c>
      <c r="J23" s="8" t="s">
        <v>227</v>
      </c>
      <c r="K23" s="12">
        <v>42230</v>
      </c>
      <c r="L23" s="13" t="s">
        <v>114</v>
      </c>
      <c r="M23" s="99">
        <v>8.6</v>
      </c>
      <c r="N23" s="99">
        <v>3.2</v>
      </c>
      <c r="O23" s="99">
        <v>1.375</v>
      </c>
      <c r="P23" s="99">
        <v>0.9</v>
      </c>
      <c r="Q23" s="99">
        <v>2.9029600000000002</v>
      </c>
      <c r="R23" s="99">
        <v>9.4499999999999993</v>
      </c>
      <c r="S23" s="99">
        <v>3.625</v>
      </c>
      <c r="T23" s="99">
        <v>0.875</v>
      </c>
      <c r="U23" s="99">
        <v>0.125</v>
      </c>
      <c r="V23" s="99">
        <v>9.1880699999999997</v>
      </c>
      <c r="W23" s="99">
        <v>0</v>
      </c>
      <c r="X23" s="99">
        <v>0</v>
      </c>
      <c r="Y23" s="99">
        <f t="shared" si="5"/>
        <v>14.075000000000001</v>
      </c>
      <c r="Z23" s="99">
        <v>1.1613599999999999</v>
      </c>
      <c r="AA23" s="100">
        <v>1954.69</v>
      </c>
      <c r="AB23" s="99">
        <v>0</v>
      </c>
      <c r="AC23" s="99">
        <f t="shared" si="0"/>
        <v>3.9891632653061224</v>
      </c>
      <c r="AD23" s="99">
        <v>0</v>
      </c>
      <c r="AE23" s="99">
        <f t="shared" si="1"/>
        <v>0</v>
      </c>
      <c r="AF23" s="99">
        <v>0</v>
      </c>
      <c r="AG23" s="99">
        <f t="shared" si="2"/>
        <v>0</v>
      </c>
      <c r="AH23" s="99">
        <v>0</v>
      </c>
      <c r="AI23" s="99">
        <f t="shared" si="3"/>
        <v>0</v>
      </c>
      <c r="AJ23" s="3"/>
      <c r="AK23" s="3">
        <f t="shared" si="6"/>
        <v>0</v>
      </c>
      <c r="AL23" s="3">
        <f t="shared" si="4"/>
        <v>27365.66</v>
      </c>
      <c r="AM23" s="18">
        <f t="shared" si="7"/>
        <v>14.075000000000001</v>
      </c>
      <c r="AN23" s="28">
        <f t="shared" si="8"/>
        <v>14.074999999999999</v>
      </c>
      <c r="AP23" s="5"/>
      <c r="AQ23" s="5"/>
      <c r="AR23" s="5"/>
      <c r="AS23" s="5"/>
    </row>
    <row r="24" spans="1:45" s="6" customFormat="1" ht="23.25">
      <c r="A24" s="82" t="s">
        <v>80</v>
      </c>
      <c r="B24" s="82">
        <v>428</v>
      </c>
      <c r="C24" s="25">
        <v>3576</v>
      </c>
      <c r="D24" s="8">
        <v>100</v>
      </c>
      <c r="E24" s="8" t="s">
        <v>91</v>
      </c>
      <c r="F24" s="9">
        <v>0</v>
      </c>
      <c r="G24" s="36">
        <v>1250</v>
      </c>
      <c r="H24" s="44">
        <v>1.25</v>
      </c>
      <c r="I24" s="34">
        <v>2</v>
      </c>
      <c r="J24" s="8" t="s">
        <v>227</v>
      </c>
      <c r="K24" s="12">
        <v>42232</v>
      </c>
      <c r="L24" s="13" t="s">
        <v>114</v>
      </c>
      <c r="M24" s="99">
        <v>0.17499999999999999</v>
      </c>
      <c r="N24" s="99">
        <v>0.42499999999999999</v>
      </c>
      <c r="O24" s="99">
        <v>0.3</v>
      </c>
      <c r="P24" s="99">
        <v>0.35</v>
      </c>
      <c r="Q24" s="99">
        <v>4.5340199999999999</v>
      </c>
      <c r="R24" s="99">
        <v>1.2</v>
      </c>
      <c r="S24" s="99">
        <v>0.05</v>
      </c>
      <c r="T24" s="99">
        <v>0</v>
      </c>
      <c r="U24" s="99">
        <v>0</v>
      </c>
      <c r="V24" s="99">
        <v>4.6742600000000003</v>
      </c>
      <c r="W24" s="99">
        <v>0</v>
      </c>
      <c r="X24" s="99">
        <v>0</v>
      </c>
      <c r="Y24" s="99">
        <f t="shared" si="5"/>
        <v>1.25</v>
      </c>
      <c r="Z24" s="99">
        <v>1.2972900000000001</v>
      </c>
      <c r="AA24" s="100">
        <v>7.71</v>
      </c>
      <c r="AB24" s="99">
        <v>0</v>
      </c>
      <c r="AC24" s="99">
        <f t="shared" si="0"/>
        <v>0.17622857142857143</v>
      </c>
      <c r="AD24" s="99">
        <v>0</v>
      </c>
      <c r="AE24" s="99">
        <f t="shared" si="1"/>
        <v>0</v>
      </c>
      <c r="AF24" s="99">
        <v>0</v>
      </c>
      <c r="AG24" s="99">
        <f t="shared" si="2"/>
        <v>0</v>
      </c>
      <c r="AH24" s="99">
        <v>1.1499999999999999</v>
      </c>
      <c r="AI24" s="99">
        <f t="shared" si="3"/>
        <v>2.6285714285714287E-2</v>
      </c>
      <c r="AJ24" s="3"/>
      <c r="AK24" s="3">
        <f t="shared" si="6"/>
        <v>0</v>
      </c>
      <c r="AL24" s="3">
        <f t="shared" si="4"/>
        <v>11.074999999999999</v>
      </c>
      <c r="AM24" s="18">
        <f t="shared" si="7"/>
        <v>1.25</v>
      </c>
      <c r="AN24" s="28">
        <f t="shared" si="8"/>
        <v>1.25</v>
      </c>
      <c r="AP24" s="5"/>
      <c r="AQ24" s="5"/>
      <c r="AR24" s="5"/>
      <c r="AS24" s="5"/>
    </row>
    <row r="25" spans="1:45" s="81" customFormat="1" ht="23.25">
      <c r="A25" s="82" t="s">
        <v>80</v>
      </c>
      <c r="B25" s="82">
        <v>428</v>
      </c>
      <c r="C25" s="25">
        <v>3701</v>
      </c>
      <c r="D25" s="82">
        <v>500</v>
      </c>
      <c r="E25" s="82" t="s">
        <v>92</v>
      </c>
      <c r="F25" s="36" t="s">
        <v>110</v>
      </c>
      <c r="G25" s="36" t="s">
        <v>151</v>
      </c>
      <c r="H25" s="44">
        <v>1.21</v>
      </c>
      <c r="I25" s="34">
        <v>2</v>
      </c>
      <c r="J25" s="82" t="s">
        <v>227</v>
      </c>
      <c r="K25" s="83">
        <v>42231</v>
      </c>
      <c r="L25" s="13" t="s">
        <v>114</v>
      </c>
      <c r="M25" s="99">
        <v>0.17499999999999999</v>
      </c>
      <c r="N25" s="99">
        <v>0.42499999999999999</v>
      </c>
      <c r="O25" s="99">
        <v>0.2</v>
      </c>
      <c r="P25" s="99">
        <v>0.45</v>
      </c>
      <c r="Q25" s="99">
        <v>7.3710000000000004</v>
      </c>
      <c r="R25" s="99">
        <v>1.075</v>
      </c>
      <c r="S25" s="99">
        <v>7.4999999999999997E-2</v>
      </c>
      <c r="T25" s="99">
        <v>0.05</v>
      </c>
      <c r="U25" s="99">
        <v>0.05</v>
      </c>
      <c r="V25" s="99">
        <v>6.5640000000000001</v>
      </c>
      <c r="W25" s="99">
        <v>0</v>
      </c>
      <c r="X25" s="99">
        <v>0</v>
      </c>
      <c r="Y25" s="99">
        <f t="shared" si="5"/>
        <v>1.25</v>
      </c>
      <c r="Z25" s="99">
        <v>1.4419999999999999</v>
      </c>
      <c r="AA25" s="100">
        <v>2.09</v>
      </c>
      <c r="AB25" s="99">
        <v>0</v>
      </c>
      <c r="AC25" s="99">
        <f t="shared" si="0"/>
        <v>4.935064935064936E-2</v>
      </c>
      <c r="AD25" s="99">
        <v>0</v>
      </c>
      <c r="AE25" s="99">
        <f t="shared" si="1"/>
        <v>0</v>
      </c>
      <c r="AF25" s="99">
        <v>0</v>
      </c>
      <c r="AG25" s="99">
        <f t="shared" si="2"/>
        <v>0</v>
      </c>
      <c r="AH25" s="99">
        <v>0</v>
      </c>
      <c r="AI25" s="99">
        <f t="shared" si="3"/>
        <v>0</v>
      </c>
      <c r="AJ25" s="3"/>
      <c r="AK25" s="3">
        <f t="shared" si="6"/>
        <v>0</v>
      </c>
      <c r="AL25" s="3">
        <f t="shared" si="4"/>
        <v>2.5288999999999997</v>
      </c>
      <c r="AM25" s="3"/>
      <c r="AN25" s="29"/>
      <c r="AP25" s="5"/>
      <c r="AQ25" s="5"/>
      <c r="AR25" s="5"/>
      <c r="AS25" s="5"/>
    </row>
    <row r="26" spans="1:45" s="81" customFormat="1" ht="23.25">
      <c r="A26" s="82" t="s">
        <v>80</v>
      </c>
      <c r="B26" s="82">
        <v>428</v>
      </c>
      <c r="C26" s="25">
        <v>3701</v>
      </c>
      <c r="D26" s="82">
        <v>500</v>
      </c>
      <c r="E26" s="82" t="s">
        <v>92</v>
      </c>
      <c r="F26" s="36" t="s">
        <v>154</v>
      </c>
      <c r="G26" s="36" t="s">
        <v>155</v>
      </c>
      <c r="H26" s="44">
        <v>1.1499999999999999</v>
      </c>
      <c r="I26" s="34">
        <v>2</v>
      </c>
      <c r="J26" s="82" t="s">
        <v>227</v>
      </c>
      <c r="K26" s="83">
        <v>42231</v>
      </c>
      <c r="L26" s="13" t="s">
        <v>114</v>
      </c>
      <c r="M26" s="99">
        <v>0.67500000000000004</v>
      </c>
      <c r="N26" s="99">
        <v>0.17499999999999999</v>
      </c>
      <c r="O26" s="99">
        <v>0.2</v>
      </c>
      <c r="P26" s="99">
        <v>0.05</v>
      </c>
      <c r="Q26" s="99">
        <v>2.8370000000000002</v>
      </c>
      <c r="R26" s="99">
        <v>1.1000000000000001</v>
      </c>
      <c r="S26" s="99">
        <v>0</v>
      </c>
      <c r="T26" s="99">
        <v>0</v>
      </c>
      <c r="U26" s="99">
        <v>0</v>
      </c>
      <c r="V26" s="99">
        <v>4.3159999999999998</v>
      </c>
      <c r="W26" s="99">
        <v>0</v>
      </c>
      <c r="X26" s="99">
        <v>0</v>
      </c>
      <c r="Y26" s="99">
        <f t="shared" si="5"/>
        <v>1.1000000000000001</v>
      </c>
      <c r="Z26" s="99">
        <v>1.135</v>
      </c>
      <c r="AA26" s="100">
        <v>0</v>
      </c>
      <c r="AB26" s="99">
        <v>0</v>
      </c>
      <c r="AC26" s="147">
        <f t="shared" si="0"/>
        <v>0</v>
      </c>
      <c r="AD26" s="99">
        <v>0</v>
      </c>
      <c r="AE26" s="99">
        <f t="shared" si="1"/>
        <v>0</v>
      </c>
      <c r="AF26" s="99">
        <v>0</v>
      </c>
      <c r="AG26" s="99">
        <f t="shared" si="2"/>
        <v>0</v>
      </c>
      <c r="AH26" s="99">
        <v>0</v>
      </c>
      <c r="AI26" s="99">
        <f t="shared" si="3"/>
        <v>0</v>
      </c>
      <c r="AJ26" s="3"/>
      <c r="AK26" s="3">
        <f t="shared" si="6"/>
        <v>0</v>
      </c>
      <c r="AL26" s="3">
        <f t="shared" si="4"/>
        <v>0</v>
      </c>
      <c r="AM26" s="3"/>
      <c r="AN26" s="29"/>
      <c r="AP26" s="5"/>
      <c r="AQ26" s="5"/>
      <c r="AR26" s="5"/>
      <c r="AS26" s="5"/>
    </row>
    <row r="27" spans="1:45" s="81" customFormat="1" ht="23.25">
      <c r="A27" s="82" t="s">
        <v>80</v>
      </c>
      <c r="B27" s="82">
        <v>428</v>
      </c>
      <c r="C27" s="25">
        <v>3701</v>
      </c>
      <c r="D27" s="82">
        <v>500</v>
      </c>
      <c r="E27" s="82" t="s">
        <v>92</v>
      </c>
      <c r="F27" s="36" t="s">
        <v>156</v>
      </c>
      <c r="G27" s="36" t="s">
        <v>157</v>
      </c>
      <c r="H27" s="44">
        <v>6.5</v>
      </c>
      <c r="I27" s="34">
        <v>2</v>
      </c>
      <c r="J27" s="82" t="s">
        <v>227</v>
      </c>
      <c r="K27" s="83">
        <v>42231</v>
      </c>
      <c r="L27" s="13" t="s">
        <v>114</v>
      </c>
      <c r="M27" s="99">
        <v>4.875</v>
      </c>
      <c r="N27" s="99">
        <v>1.05</v>
      </c>
      <c r="O27" s="99">
        <v>0.5</v>
      </c>
      <c r="P27" s="99">
        <v>0.125</v>
      </c>
      <c r="Q27" s="99">
        <v>2.16</v>
      </c>
      <c r="R27" s="99">
        <v>6.3</v>
      </c>
      <c r="S27" s="99">
        <v>0.2</v>
      </c>
      <c r="T27" s="99">
        <v>0.05</v>
      </c>
      <c r="U27" s="99">
        <v>0</v>
      </c>
      <c r="V27" s="99">
        <v>5.2560000000000002</v>
      </c>
      <c r="W27" s="99">
        <v>0</v>
      </c>
      <c r="X27" s="99">
        <v>0</v>
      </c>
      <c r="Y27" s="99">
        <f t="shared" si="5"/>
        <v>6.55</v>
      </c>
      <c r="Z27" s="99">
        <v>1.1419999999999999</v>
      </c>
      <c r="AA27" s="100">
        <v>0</v>
      </c>
      <c r="AB27" s="99">
        <v>0</v>
      </c>
      <c r="AC27" s="147">
        <f t="shared" si="0"/>
        <v>0</v>
      </c>
      <c r="AD27" s="99">
        <v>8.3000000000000007</v>
      </c>
      <c r="AE27" s="99">
        <f t="shared" si="1"/>
        <v>3.6483516483516484E-2</v>
      </c>
      <c r="AF27" s="99">
        <v>0</v>
      </c>
      <c r="AG27" s="99">
        <f t="shared" si="2"/>
        <v>0</v>
      </c>
      <c r="AH27" s="99">
        <v>0</v>
      </c>
      <c r="AI27" s="99">
        <f t="shared" si="3"/>
        <v>0</v>
      </c>
      <c r="AJ27" s="3"/>
      <c r="AK27" s="3">
        <f t="shared" si="6"/>
        <v>0</v>
      </c>
      <c r="AL27" s="3">
        <f t="shared" si="4"/>
        <v>53.95</v>
      </c>
      <c r="AM27" s="3"/>
      <c r="AN27" s="29"/>
      <c r="AP27" s="5"/>
      <c r="AQ27" s="5"/>
      <c r="AR27" s="5"/>
      <c r="AS27" s="5"/>
    </row>
    <row r="28" spans="1:45" s="81" customFormat="1" ht="23.25">
      <c r="A28" s="82" t="s">
        <v>80</v>
      </c>
      <c r="B28" s="82">
        <v>428</v>
      </c>
      <c r="C28" s="25">
        <v>3701</v>
      </c>
      <c r="D28" s="82">
        <v>500</v>
      </c>
      <c r="E28" s="82" t="s">
        <v>92</v>
      </c>
      <c r="F28" s="36" t="s">
        <v>157</v>
      </c>
      <c r="G28" s="36" t="s">
        <v>158</v>
      </c>
      <c r="H28" s="44">
        <v>0.5</v>
      </c>
      <c r="I28" s="34">
        <v>2</v>
      </c>
      <c r="J28" s="82" t="s">
        <v>227</v>
      </c>
      <c r="K28" s="83">
        <v>42231</v>
      </c>
      <c r="L28" s="13" t="s">
        <v>114</v>
      </c>
      <c r="M28" s="99">
        <v>0.22500000000000001</v>
      </c>
      <c r="N28" s="99">
        <v>7.4999999999999997E-2</v>
      </c>
      <c r="O28" s="99">
        <v>2.5000000000000001E-2</v>
      </c>
      <c r="P28" s="99">
        <v>0.2</v>
      </c>
      <c r="Q28" s="99">
        <v>4.0860000000000003</v>
      </c>
      <c r="R28" s="99">
        <v>0.5</v>
      </c>
      <c r="S28" s="99">
        <v>2.5000000000000001E-2</v>
      </c>
      <c r="T28" s="99">
        <v>0</v>
      </c>
      <c r="U28" s="99">
        <v>0</v>
      </c>
      <c r="V28" s="99">
        <v>4.9610000000000003</v>
      </c>
      <c r="W28" s="99">
        <v>0</v>
      </c>
      <c r="X28" s="99">
        <v>0</v>
      </c>
      <c r="Y28" s="99">
        <f t="shared" si="5"/>
        <v>0.52500000000000002</v>
      </c>
      <c r="Z28" s="99">
        <v>0.95799999999999996</v>
      </c>
      <c r="AA28" s="100">
        <v>0</v>
      </c>
      <c r="AB28" s="99">
        <v>0</v>
      </c>
      <c r="AC28" s="147">
        <f t="shared" si="0"/>
        <v>0</v>
      </c>
      <c r="AD28" s="99">
        <v>0</v>
      </c>
      <c r="AE28" s="99">
        <f t="shared" si="1"/>
        <v>0</v>
      </c>
      <c r="AF28" s="99">
        <v>0</v>
      </c>
      <c r="AG28" s="99">
        <f t="shared" si="2"/>
        <v>0</v>
      </c>
      <c r="AH28" s="99">
        <v>0</v>
      </c>
      <c r="AI28" s="99">
        <f t="shared" si="3"/>
        <v>0</v>
      </c>
      <c r="AJ28" s="3"/>
      <c r="AK28" s="3">
        <f t="shared" si="6"/>
        <v>0</v>
      </c>
      <c r="AL28" s="3">
        <f t="shared" si="4"/>
        <v>0</v>
      </c>
      <c r="AM28" s="3"/>
      <c r="AN28" s="29"/>
      <c r="AP28" s="5"/>
      <c r="AQ28" s="5"/>
      <c r="AR28" s="5"/>
      <c r="AS28" s="5"/>
    </row>
    <row r="29" spans="1:45" s="81" customFormat="1" ht="23.25">
      <c r="A29" s="82" t="s">
        <v>80</v>
      </c>
      <c r="B29" s="82">
        <v>428</v>
      </c>
      <c r="C29" s="25">
        <v>3701</v>
      </c>
      <c r="D29" s="82">
        <v>500</v>
      </c>
      <c r="E29" s="82" t="s">
        <v>92</v>
      </c>
      <c r="F29" s="36" t="s">
        <v>159</v>
      </c>
      <c r="G29" s="36" t="s">
        <v>160</v>
      </c>
      <c r="H29" s="44">
        <v>0.3</v>
      </c>
      <c r="I29" s="34">
        <v>2</v>
      </c>
      <c r="J29" s="82" t="s">
        <v>227</v>
      </c>
      <c r="K29" s="83">
        <v>42231</v>
      </c>
      <c r="L29" s="13" t="s">
        <v>114</v>
      </c>
      <c r="M29" s="99">
        <v>0.1</v>
      </c>
      <c r="N29" s="99">
        <v>0.05</v>
      </c>
      <c r="O29" s="99">
        <v>0.1</v>
      </c>
      <c r="P29" s="99">
        <v>0.1</v>
      </c>
      <c r="Q29" s="99">
        <v>4.024</v>
      </c>
      <c r="R29" s="99">
        <v>0.27500000000000002</v>
      </c>
      <c r="S29" s="99">
        <v>7.4999999999999997E-2</v>
      </c>
      <c r="T29" s="99">
        <v>0</v>
      </c>
      <c r="U29" s="99">
        <v>0</v>
      </c>
      <c r="V29" s="99">
        <v>6.7009999999999996</v>
      </c>
      <c r="W29" s="99">
        <v>0</v>
      </c>
      <c r="X29" s="99">
        <v>0</v>
      </c>
      <c r="Y29" s="99">
        <f t="shared" si="5"/>
        <v>0.35</v>
      </c>
      <c r="Z29" s="99">
        <v>0.95</v>
      </c>
      <c r="AA29" s="100">
        <v>0</v>
      </c>
      <c r="AB29" s="99">
        <v>0</v>
      </c>
      <c r="AC29" s="147">
        <f t="shared" si="0"/>
        <v>0</v>
      </c>
      <c r="AD29" s="99">
        <v>0</v>
      </c>
      <c r="AE29" s="99">
        <f t="shared" si="1"/>
        <v>0</v>
      </c>
      <c r="AF29" s="99">
        <v>0</v>
      </c>
      <c r="AG29" s="99">
        <f t="shared" si="2"/>
        <v>0</v>
      </c>
      <c r="AH29" s="99">
        <v>0</v>
      </c>
      <c r="AI29" s="99">
        <f t="shared" si="3"/>
        <v>0</v>
      </c>
      <c r="AJ29" s="3"/>
      <c r="AK29" s="3">
        <f t="shared" si="6"/>
        <v>0</v>
      </c>
      <c r="AL29" s="3">
        <f t="shared" si="4"/>
        <v>0</v>
      </c>
      <c r="AM29" s="3"/>
      <c r="AN29" s="29"/>
      <c r="AP29" s="5"/>
      <c r="AQ29" s="5"/>
      <c r="AR29" s="5"/>
      <c r="AS29" s="5"/>
    </row>
    <row r="30" spans="1:45" s="81" customFormat="1" ht="23.25">
      <c r="A30" s="82" t="s">
        <v>80</v>
      </c>
      <c r="B30" s="82">
        <v>428</v>
      </c>
      <c r="C30" s="25">
        <v>3701</v>
      </c>
      <c r="D30" s="82">
        <v>500</v>
      </c>
      <c r="E30" s="82" t="s">
        <v>92</v>
      </c>
      <c r="F30" s="36" t="s">
        <v>161</v>
      </c>
      <c r="G30" s="36" t="s">
        <v>162</v>
      </c>
      <c r="H30" s="44">
        <v>2.44</v>
      </c>
      <c r="I30" s="34">
        <v>2</v>
      </c>
      <c r="J30" s="82" t="s">
        <v>227</v>
      </c>
      <c r="K30" s="83">
        <v>42231</v>
      </c>
      <c r="L30" s="13" t="s">
        <v>114</v>
      </c>
      <c r="M30" s="99">
        <v>1.5249999999999999</v>
      </c>
      <c r="N30" s="99">
        <v>0.375</v>
      </c>
      <c r="O30" s="99">
        <v>0.25</v>
      </c>
      <c r="P30" s="99">
        <v>2.5000000000000001E-2</v>
      </c>
      <c r="Q30" s="99">
        <v>2.2890000000000001</v>
      </c>
      <c r="R30" s="99">
        <v>2.1749999999999998</v>
      </c>
      <c r="S30" s="99">
        <v>0</v>
      </c>
      <c r="T30" s="99">
        <v>0</v>
      </c>
      <c r="U30" s="99">
        <v>0</v>
      </c>
      <c r="V30" s="99">
        <v>4.0549999999999997</v>
      </c>
      <c r="W30" s="99">
        <v>0</v>
      </c>
      <c r="X30" s="99">
        <v>0</v>
      </c>
      <c r="Y30" s="99">
        <f t="shared" si="5"/>
        <v>2.1749999999999998</v>
      </c>
      <c r="Z30" s="99">
        <v>1.0940000000000001</v>
      </c>
      <c r="AA30" s="100">
        <v>0</v>
      </c>
      <c r="AB30" s="99">
        <v>0</v>
      </c>
      <c r="AC30" s="147">
        <f t="shared" si="0"/>
        <v>0</v>
      </c>
      <c r="AD30" s="99">
        <v>0</v>
      </c>
      <c r="AE30" s="99">
        <f t="shared" si="1"/>
        <v>0</v>
      </c>
      <c r="AF30" s="99">
        <v>0</v>
      </c>
      <c r="AG30" s="99">
        <f t="shared" si="2"/>
        <v>0</v>
      </c>
      <c r="AH30" s="99">
        <v>0</v>
      </c>
      <c r="AI30" s="99">
        <f t="shared" si="3"/>
        <v>0</v>
      </c>
      <c r="AJ30" s="3"/>
      <c r="AK30" s="3">
        <f t="shared" si="6"/>
        <v>0</v>
      </c>
      <c r="AL30" s="3">
        <f t="shared" si="4"/>
        <v>0</v>
      </c>
      <c r="AM30" s="3"/>
      <c r="AN30" s="29"/>
      <c r="AP30" s="5"/>
      <c r="AQ30" s="5"/>
      <c r="AR30" s="5"/>
      <c r="AS30" s="5"/>
    </row>
    <row r="31" spans="1:45" s="81" customFormat="1" ht="23.25">
      <c r="A31" s="82" t="s">
        <v>80</v>
      </c>
      <c r="B31" s="82">
        <v>428</v>
      </c>
      <c r="C31" s="25">
        <v>3701</v>
      </c>
      <c r="D31" s="82">
        <v>500</v>
      </c>
      <c r="E31" s="82" t="s">
        <v>92</v>
      </c>
      <c r="F31" s="36" t="s">
        <v>165</v>
      </c>
      <c r="G31" s="36" t="s">
        <v>166</v>
      </c>
      <c r="H31" s="44">
        <v>0.65</v>
      </c>
      <c r="I31" s="34">
        <v>2</v>
      </c>
      <c r="J31" s="82" t="s">
        <v>227</v>
      </c>
      <c r="K31" s="83">
        <v>42231</v>
      </c>
      <c r="L31" s="13" t="s">
        <v>114</v>
      </c>
      <c r="M31" s="99">
        <v>0.55000000000000004</v>
      </c>
      <c r="N31" s="99">
        <v>0.15</v>
      </c>
      <c r="O31" s="99">
        <v>0</v>
      </c>
      <c r="P31" s="99">
        <v>0</v>
      </c>
      <c r="Q31" s="99">
        <v>2.0030000000000001</v>
      </c>
      <c r="R31" s="99">
        <v>0.67500000000000004</v>
      </c>
      <c r="S31" s="99">
        <v>2.5000000000000001E-2</v>
      </c>
      <c r="T31" s="99">
        <v>0</v>
      </c>
      <c r="U31" s="99">
        <v>0</v>
      </c>
      <c r="V31" s="99">
        <v>4.66</v>
      </c>
      <c r="W31" s="99">
        <v>0</v>
      </c>
      <c r="X31" s="99">
        <v>0</v>
      </c>
      <c r="Y31" s="99">
        <f t="shared" si="5"/>
        <v>0.70000000000000007</v>
      </c>
      <c r="Z31" s="99">
        <v>1.0149999999999999</v>
      </c>
      <c r="AA31" s="100">
        <v>0</v>
      </c>
      <c r="AB31" s="99">
        <v>0</v>
      </c>
      <c r="AC31" s="147">
        <f t="shared" si="0"/>
        <v>0</v>
      </c>
      <c r="AD31" s="99">
        <v>0</v>
      </c>
      <c r="AE31" s="99">
        <f t="shared" si="1"/>
        <v>0</v>
      </c>
      <c r="AF31" s="99">
        <v>0</v>
      </c>
      <c r="AG31" s="99">
        <f t="shared" si="2"/>
        <v>0</v>
      </c>
      <c r="AH31" s="99">
        <v>0</v>
      </c>
      <c r="AI31" s="99">
        <f t="shared" si="3"/>
        <v>0</v>
      </c>
      <c r="AJ31" s="3"/>
      <c r="AK31" s="3">
        <f t="shared" si="6"/>
        <v>0</v>
      </c>
      <c r="AL31" s="3">
        <f t="shared" si="4"/>
        <v>0</v>
      </c>
      <c r="AM31" s="3"/>
      <c r="AN31" s="29"/>
      <c r="AP31" s="5"/>
      <c r="AQ31" s="5"/>
      <c r="AR31" s="5"/>
      <c r="AS31" s="5"/>
    </row>
    <row r="32" spans="1:45" s="81" customFormat="1" ht="23.25">
      <c r="A32" s="82" t="s">
        <v>80</v>
      </c>
      <c r="B32" s="82">
        <v>428</v>
      </c>
      <c r="C32" s="25">
        <v>3701</v>
      </c>
      <c r="D32" s="82">
        <v>500</v>
      </c>
      <c r="E32" s="82" t="s">
        <v>92</v>
      </c>
      <c r="F32" s="36" t="s">
        <v>167</v>
      </c>
      <c r="G32" s="36" t="s">
        <v>168</v>
      </c>
      <c r="H32" s="44">
        <v>1</v>
      </c>
      <c r="I32" s="34">
        <v>2</v>
      </c>
      <c r="J32" s="82" t="s">
        <v>227</v>
      </c>
      <c r="K32" s="83">
        <v>42231</v>
      </c>
      <c r="L32" s="13" t="s">
        <v>114</v>
      </c>
      <c r="M32" s="99">
        <v>0.8</v>
      </c>
      <c r="N32" s="99">
        <v>0.1</v>
      </c>
      <c r="O32" s="99">
        <v>7.4999999999999997E-2</v>
      </c>
      <c r="P32" s="99">
        <v>0</v>
      </c>
      <c r="Q32" s="99">
        <v>2.0089999999999999</v>
      </c>
      <c r="R32" s="99">
        <v>0.97499999999999998</v>
      </c>
      <c r="S32" s="99">
        <v>0</v>
      </c>
      <c r="T32" s="99">
        <v>0</v>
      </c>
      <c r="U32" s="99">
        <v>0</v>
      </c>
      <c r="V32" s="99">
        <v>3.718</v>
      </c>
      <c r="W32" s="99">
        <v>0</v>
      </c>
      <c r="X32" s="99">
        <v>0</v>
      </c>
      <c r="Y32" s="99">
        <f t="shared" si="5"/>
        <v>0.97499999999999998</v>
      </c>
      <c r="Z32" s="99">
        <v>1.167</v>
      </c>
      <c r="AA32" s="100">
        <v>0</v>
      </c>
      <c r="AB32" s="99">
        <v>2.12</v>
      </c>
      <c r="AC32" s="147">
        <f t="shared" si="0"/>
        <v>3.0285714285714284E-2</v>
      </c>
      <c r="AD32" s="99">
        <v>0</v>
      </c>
      <c r="AE32" s="99">
        <f t="shared" si="1"/>
        <v>0</v>
      </c>
      <c r="AF32" s="99">
        <v>0</v>
      </c>
      <c r="AG32" s="99">
        <f t="shared" si="2"/>
        <v>0</v>
      </c>
      <c r="AH32" s="99">
        <v>0</v>
      </c>
      <c r="AI32" s="99">
        <f t="shared" si="3"/>
        <v>0</v>
      </c>
      <c r="AJ32" s="3"/>
      <c r="AK32" s="3">
        <f t="shared" si="6"/>
        <v>1.06</v>
      </c>
      <c r="AL32" s="3">
        <f t="shared" si="4"/>
        <v>1.06</v>
      </c>
      <c r="AM32" s="3"/>
      <c r="AN32" s="29"/>
      <c r="AP32" s="5"/>
      <c r="AQ32" s="5"/>
      <c r="AR32" s="5"/>
      <c r="AS32" s="5"/>
    </row>
    <row r="33" spans="1:45" s="81" customFormat="1" ht="23.25">
      <c r="A33" s="82" t="s">
        <v>80</v>
      </c>
      <c r="B33" s="82">
        <v>428</v>
      </c>
      <c r="C33" s="25">
        <v>3701</v>
      </c>
      <c r="D33" s="82">
        <v>500</v>
      </c>
      <c r="E33" s="82" t="s">
        <v>92</v>
      </c>
      <c r="F33" s="36" t="s">
        <v>169</v>
      </c>
      <c r="G33" s="36" t="s">
        <v>170</v>
      </c>
      <c r="H33" s="44">
        <v>3.3250000000000002</v>
      </c>
      <c r="I33" s="34">
        <v>2</v>
      </c>
      <c r="J33" s="82" t="s">
        <v>227</v>
      </c>
      <c r="K33" s="83">
        <v>42231</v>
      </c>
      <c r="L33" s="13" t="s">
        <v>114</v>
      </c>
      <c r="M33" s="99">
        <v>2.4249999999999998</v>
      </c>
      <c r="N33" s="99">
        <v>0.8</v>
      </c>
      <c r="O33" s="99">
        <v>0.25</v>
      </c>
      <c r="P33" s="99">
        <v>0</v>
      </c>
      <c r="Q33" s="99">
        <v>2.2509999999999999</v>
      </c>
      <c r="R33" s="99">
        <v>3.4</v>
      </c>
      <c r="S33" s="99">
        <v>7.4999999999999997E-2</v>
      </c>
      <c r="T33" s="99">
        <v>0</v>
      </c>
      <c r="U33" s="99">
        <v>0</v>
      </c>
      <c r="V33" s="99">
        <v>5.3470000000000004</v>
      </c>
      <c r="W33" s="99">
        <v>0</v>
      </c>
      <c r="X33" s="99">
        <v>0</v>
      </c>
      <c r="Y33" s="99">
        <f t="shared" si="5"/>
        <v>3.4749999999999996</v>
      </c>
      <c r="Z33" s="99">
        <v>1.196</v>
      </c>
      <c r="AA33" s="100">
        <v>0</v>
      </c>
      <c r="AB33" s="99">
        <v>0</v>
      </c>
      <c r="AC33" s="99">
        <f t="shared" si="0"/>
        <v>0</v>
      </c>
      <c r="AD33" s="99">
        <v>0</v>
      </c>
      <c r="AE33" s="99">
        <f t="shared" si="1"/>
        <v>0</v>
      </c>
      <c r="AF33" s="99">
        <v>0</v>
      </c>
      <c r="AG33" s="99">
        <f t="shared" si="2"/>
        <v>0</v>
      </c>
      <c r="AH33" s="99">
        <v>0</v>
      </c>
      <c r="AI33" s="99">
        <f t="shared" si="3"/>
        <v>0</v>
      </c>
      <c r="AJ33" s="3"/>
      <c r="AK33" s="3">
        <f t="shared" si="6"/>
        <v>0</v>
      </c>
      <c r="AL33" s="3">
        <f t="shared" si="4"/>
        <v>0</v>
      </c>
      <c r="AM33" s="3"/>
      <c r="AN33" s="29"/>
      <c r="AP33" s="5"/>
      <c r="AQ33" s="5"/>
      <c r="AR33" s="5"/>
      <c r="AS33" s="5"/>
    </row>
    <row r="34" spans="1:45" s="81" customFormat="1" ht="23.25">
      <c r="A34" s="82" t="s">
        <v>80</v>
      </c>
      <c r="B34" s="82">
        <v>428</v>
      </c>
      <c r="C34" s="25">
        <v>3701</v>
      </c>
      <c r="D34" s="82">
        <v>500</v>
      </c>
      <c r="E34" s="82" t="s">
        <v>92</v>
      </c>
      <c r="F34" s="36" t="s">
        <v>171</v>
      </c>
      <c r="G34" s="36" t="s">
        <v>172</v>
      </c>
      <c r="H34" s="44">
        <v>2.2069999999999999</v>
      </c>
      <c r="I34" s="34">
        <v>2</v>
      </c>
      <c r="J34" s="82" t="s">
        <v>227</v>
      </c>
      <c r="K34" s="83">
        <v>42231</v>
      </c>
      <c r="L34" s="13" t="s">
        <v>114</v>
      </c>
      <c r="M34" s="99">
        <v>1.7250000000000001</v>
      </c>
      <c r="N34" s="99">
        <v>0.375</v>
      </c>
      <c r="O34" s="99">
        <v>0.1</v>
      </c>
      <c r="P34" s="99">
        <v>0</v>
      </c>
      <c r="Q34" s="99">
        <v>1.996</v>
      </c>
      <c r="R34" s="99">
        <v>2.2000000000000002</v>
      </c>
      <c r="S34" s="99">
        <v>0</v>
      </c>
      <c r="T34" s="99">
        <v>0</v>
      </c>
      <c r="U34" s="99">
        <v>0</v>
      </c>
      <c r="V34" s="99">
        <v>5.4850000000000003</v>
      </c>
      <c r="W34" s="99">
        <v>0</v>
      </c>
      <c r="X34" s="99">
        <v>0</v>
      </c>
      <c r="Y34" s="99">
        <f t="shared" si="5"/>
        <v>2.2000000000000002</v>
      </c>
      <c r="Z34" s="99">
        <v>1.0940000000000001</v>
      </c>
      <c r="AA34" s="100">
        <v>0</v>
      </c>
      <c r="AB34" s="99">
        <v>0</v>
      </c>
      <c r="AC34" s="99">
        <f t="shared" ref="AC34:AC59" si="9">(AA34+AB34*0.5)/(3.5*H34*1000)*100</f>
        <v>0</v>
      </c>
      <c r="AD34" s="99">
        <v>0</v>
      </c>
      <c r="AE34" s="99">
        <f t="shared" ref="AE34:AE59" si="10">AD34/(3.5*H34*1000)*100</f>
        <v>0</v>
      </c>
      <c r="AF34" s="99">
        <v>0</v>
      </c>
      <c r="AG34" s="99">
        <f t="shared" ref="AG34:AG59" si="11">AF34/(3.5*H34*1000)*100</f>
        <v>0</v>
      </c>
      <c r="AH34" s="99">
        <v>0</v>
      </c>
      <c r="AI34" s="99">
        <f t="shared" ref="AI34:AI59" si="12">AH34/(3.5*H34*1000)*100</f>
        <v>0</v>
      </c>
      <c r="AJ34" s="3"/>
      <c r="AK34" s="3">
        <f t="shared" si="6"/>
        <v>0</v>
      </c>
      <c r="AL34" s="3">
        <f t="shared" ref="AL34:AL56" si="13">(AA34+AD34+AF34+AH34+AK34)*H34</f>
        <v>0</v>
      </c>
      <c r="AM34" s="3"/>
      <c r="AN34" s="29"/>
      <c r="AP34" s="5"/>
      <c r="AQ34" s="5"/>
      <c r="AR34" s="5"/>
      <c r="AS34" s="5"/>
    </row>
    <row r="35" spans="1:45" s="81" customFormat="1" ht="23.25">
      <c r="A35" s="82" t="s">
        <v>80</v>
      </c>
      <c r="B35" s="82">
        <v>428</v>
      </c>
      <c r="C35" s="25">
        <v>3701</v>
      </c>
      <c r="D35" s="82">
        <v>500</v>
      </c>
      <c r="E35" s="82" t="s">
        <v>92</v>
      </c>
      <c r="F35" s="36" t="s">
        <v>173</v>
      </c>
      <c r="G35" s="36" t="s">
        <v>174</v>
      </c>
      <c r="H35" s="44">
        <v>0.27</v>
      </c>
      <c r="I35" s="34">
        <v>2</v>
      </c>
      <c r="J35" s="82" t="s">
        <v>227</v>
      </c>
      <c r="K35" s="83">
        <v>42231</v>
      </c>
      <c r="L35" s="13" t="s">
        <v>114</v>
      </c>
      <c r="M35" s="99">
        <v>0.125</v>
      </c>
      <c r="N35" s="99">
        <v>0.15</v>
      </c>
      <c r="O35" s="99">
        <v>2.5000000000000001E-2</v>
      </c>
      <c r="P35" s="99">
        <v>2.5000000000000001E-2</v>
      </c>
      <c r="Q35" s="99">
        <v>2.8769999999999998</v>
      </c>
      <c r="R35" s="99">
        <v>0.32500000000000001</v>
      </c>
      <c r="S35" s="99">
        <v>0</v>
      </c>
      <c r="T35" s="99">
        <v>0</v>
      </c>
      <c r="U35" s="99">
        <v>0</v>
      </c>
      <c r="V35" s="99">
        <v>3.9289999999999998</v>
      </c>
      <c r="W35" s="99">
        <v>0</v>
      </c>
      <c r="X35" s="99">
        <v>0</v>
      </c>
      <c r="Y35" s="99">
        <f t="shared" si="5"/>
        <v>0.32500000000000007</v>
      </c>
      <c r="Z35" s="99">
        <v>1.087</v>
      </c>
      <c r="AA35" s="100">
        <v>0</v>
      </c>
      <c r="AB35" s="99">
        <v>0</v>
      </c>
      <c r="AC35" s="99">
        <f t="shared" si="9"/>
        <v>0</v>
      </c>
      <c r="AD35" s="99">
        <v>0</v>
      </c>
      <c r="AE35" s="99">
        <f t="shared" si="10"/>
        <v>0</v>
      </c>
      <c r="AF35" s="99">
        <v>0</v>
      </c>
      <c r="AG35" s="99">
        <f t="shared" si="11"/>
        <v>0</v>
      </c>
      <c r="AH35" s="99">
        <v>0</v>
      </c>
      <c r="AI35" s="99">
        <f t="shared" si="12"/>
        <v>0</v>
      </c>
      <c r="AJ35" s="3"/>
      <c r="AK35" s="3">
        <f t="shared" si="6"/>
        <v>0</v>
      </c>
      <c r="AL35" s="3">
        <f t="shared" si="13"/>
        <v>0</v>
      </c>
      <c r="AM35" s="3"/>
      <c r="AN35" s="29"/>
      <c r="AP35" s="5"/>
      <c r="AQ35" s="5"/>
      <c r="AR35" s="5"/>
      <c r="AS35" s="5"/>
    </row>
    <row r="36" spans="1:45" s="81" customFormat="1" ht="23.25">
      <c r="A36" s="82" t="s">
        <v>80</v>
      </c>
      <c r="B36" s="82">
        <v>428</v>
      </c>
      <c r="C36" s="25">
        <v>3701</v>
      </c>
      <c r="D36" s="82">
        <v>500</v>
      </c>
      <c r="E36" s="82" t="s">
        <v>92</v>
      </c>
      <c r="F36" s="36" t="s">
        <v>175</v>
      </c>
      <c r="G36" s="36" t="s">
        <v>176</v>
      </c>
      <c r="H36" s="44">
        <v>0.61499999999999999</v>
      </c>
      <c r="I36" s="34">
        <v>2</v>
      </c>
      <c r="J36" s="82" t="s">
        <v>227</v>
      </c>
      <c r="K36" s="83">
        <v>42231</v>
      </c>
      <c r="L36" s="13" t="s">
        <v>114</v>
      </c>
      <c r="M36" s="99">
        <v>0.42499999999999999</v>
      </c>
      <c r="N36" s="99">
        <v>0.2</v>
      </c>
      <c r="O36" s="99">
        <v>0</v>
      </c>
      <c r="P36" s="99">
        <v>0</v>
      </c>
      <c r="Q36" s="99">
        <v>2.0950000000000002</v>
      </c>
      <c r="R36" s="99">
        <v>0.625</v>
      </c>
      <c r="S36" s="99">
        <v>0</v>
      </c>
      <c r="T36" s="99">
        <v>0</v>
      </c>
      <c r="U36" s="99">
        <v>0</v>
      </c>
      <c r="V36" s="99">
        <v>1.8080000000000001</v>
      </c>
      <c r="W36" s="99">
        <v>0</v>
      </c>
      <c r="X36" s="99">
        <v>0</v>
      </c>
      <c r="Y36" s="99">
        <f t="shared" si="5"/>
        <v>0.625</v>
      </c>
      <c r="Z36" s="99">
        <v>1.1679999999999999</v>
      </c>
      <c r="AA36" s="100">
        <v>0</v>
      </c>
      <c r="AB36" s="99">
        <v>0</v>
      </c>
      <c r="AC36" s="99">
        <f t="shared" si="9"/>
        <v>0</v>
      </c>
      <c r="AD36" s="99">
        <v>0</v>
      </c>
      <c r="AE36" s="99">
        <f t="shared" si="10"/>
        <v>0</v>
      </c>
      <c r="AF36" s="99">
        <v>0</v>
      </c>
      <c r="AG36" s="99">
        <f t="shared" si="11"/>
        <v>0</v>
      </c>
      <c r="AH36" s="99">
        <v>0</v>
      </c>
      <c r="AI36" s="99">
        <f t="shared" si="12"/>
        <v>0</v>
      </c>
      <c r="AJ36" s="3"/>
      <c r="AK36" s="3">
        <f t="shared" si="6"/>
        <v>0</v>
      </c>
      <c r="AL36" s="3">
        <f t="shared" si="13"/>
        <v>0</v>
      </c>
      <c r="AM36" s="3"/>
      <c r="AN36" s="29"/>
      <c r="AP36" s="5"/>
      <c r="AQ36" s="5"/>
      <c r="AR36" s="5"/>
      <c r="AS36" s="5"/>
    </row>
    <row r="37" spans="1:45" s="81" customFormat="1" ht="23.25">
      <c r="A37" s="82" t="s">
        <v>80</v>
      </c>
      <c r="B37" s="82">
        <v>428</v>
      </c>
      <c r="C37" s="25">
        <v>3701</v>
      </c>
      <c r="D37" s="82">
        <v>500</v>
      </c>
      <c r="E37" s="82" t="s">
        <v>92</v>
      </c>
      <c r="F37" s="36" t="s">
        <v>177</v>
      </c>
      <c r="G37" s="36" t="s">
        <v>178</v>
      </c>
      <c r="H37" s="44">
        <v>2.629</v>
      </c>
      <c r="I37" s="34">
        <v>2</v>
      </c>
      <c r="J37" s="82" t="s">
        <v>227</v>
      </c>
      <c r="K37" s="83">
        <v>42231</v>
      </c>
      <c r="L37" s="13" t="s">
        <v>114</v>
      </c>
      <c r="M37" s="99">
        <v>1.675</v>
      </c>
      <c r="N37" s="99">
        <v>0.45</v>
      </c>
      <c r="O37" s="99">
        <v>0.22500000000000001</v>
      </c>
      <c r="P37" s="99">
        <v>0.15</v>
      </c>
      <c r="Q37" s="99">
        <v>2.532</v>
      </c>
      <c r="R37" s="99">
        <v>2.4</v>
      </c>
      <c r="S37" s="99">
        <v>7.4999999999999997E-2</v>
      </c>
      <c r="T37" s="99">
        <v>2.5000000000000001E-2</v>
      </c>
      <c r="U37" s="99">
        <v>0</v>
      </c>
      <c r="V37" s="99">
        <v>3.2949999999999999</v>
      </c>
      <c r="W37" s="99">
        <v>0</v>
      </c>
      <c r="X37" s="99">
        <v>0</v>
      </c>
      <c r="Y37" s="99">
        <f t="shared" si="5"/>
        <v>2.5</v>
      </c>
      <c r="Z37" s="99">
        <v>1.179</v>
      </c>
      <c r="AA37" s="100">
        <v>0</v>
      </c>
      <c r="AB37" s="99">
        <v>0</v>
      </c>
      <c r="AC37" s="99">
        <f t="shared" si="9"/>
        <v>0</v>
      </c>
      <c r="AD37" s="99">
        <v>0</v>
      </c>
      <c r="AE37" s="99">
        <f t="shared" si="10"/>
        <v>0</v>
      </c>
      <c r="AF37" s="99">
        <v>0</v>
      </c>
      <c r="AG37" s="99">
        <f t="shared" si="11"/>
        <v>0</v>
      </c>
      <c r="AH37" s="99">
        <v>0</v>
      </c>
      <c r="AI37" s="99">
        <f t="shared" si="12"/>
        <v>0</v>
      </c>
      <c r="AJ37" s="3"/>
      <c r="AK37" s="3">
        <f t="shared" si="6"/>
        <v>0</v>
      </c>
      <c r="AL37" s="3">
        <f t="shared" si="13"/>
        <v>0</v>
      </c>
      <c r="AM37" s="3"/>
      <c r="AN37" s="29"/>
      <c r="AP37" s="5"/>
      <c r="AQ37" s="5"/>
      <c r="AR37" s="5"/>
      <c r="AS37" s="5"/>
    </row>
    <row r="38" spans="1:45" s="81" customFormat="1" ht="23.25">
      <c r="A38" s="82" t="s">
        <v>80</v>
      </c>
      <c r="B38" s="82">
        <v>428</v>
      </c>
      <c r="C38" s="25">
        <v>3701</v>
      </c>
      <c r="D38" s="82">
        <v>500</v>
      </c>
      <c r="E38" s="82" t="s">
        <v>92</v>
      </c>
      <c r="F38" s="36" t="s">
        <v>179</v>
      </c>
      <c r="G38" s="36" t="s">
        <v>180</v>
      </c>
      <c r="H38" s="44">
        <v>0.19800000000000001</v>
      </c>
      <c r="I38" s="34">
        <v>2</v>
      </c>
      <c r="J38" s="82" t="s">
        <v>227</v>
      </c>
      <c r="K38" s="83">
        <v>42231</v>
      </c>
      <c r="L38" s="13" t="s">
        <v>114</v>
      </c>
      <c r="M38" s="99">
        <v>0.75</v>
      </c>
      <c r="N38" s="99">
        <v>0.15</v>
      </c>
      <c r="O38" s="99">
        <v>2.5000000000000001E-2</v>
      </c>
      <c r="P38" s="99">
        <v>0.05</v>
      </c>
      <c r="Q38" s="99">
        <v>2.25</v>
      </c>
      <c r="R38" s="99">
        <v>0.97499999999999998</v>
      </c>
      <c r="S38" s="99">
        <v>0</v>
      </c>
      <c r="T38" s="99">
        <v>0</v>
      </c>
      <c r="U38" s="99">
        <v>0</v>
      </c>
      <c r="V38" s="99">
        <v>3.141</v>
      </c>
      <c r="W38" s="99">
        <v>0</v>
      </c>
      <c r="X38" s="99">
        <v>0</v>
      </c>
      <c r="Y38" s="99">
        <f t="shared" si="5"/>
        <v>0.97500000000000009</v>
      </c>
      <c r="Z38" s="99">
        <v>1.0029999999999999</v>
      </c>
      <c r="AA38" s="100">
        <v>0</v>
      </c>
      <c r="AB38" s="99">
        <v>0</v>
      </c>
      <c r="AC38" s="99">
        <f t="shared" si="9"/>
        <v>0</v>
      </c>
      <c r="AD38" s="99">
        <v>0</v>
      </c>
      <c r="AE38" s="99">
        <f t="shared" si="10"/>
        <v>0</v>
      </c>
      <c r="AF38" s="99">
        <v>0</v>
      </c>
      <c r="AG38" s="99">
        <f t="shared" si="11"/>
        <v>0</v>
      </c>
      <c r="AH38" s="99">
        <v>0</v>
      </c>
      <c r="AI38" s="99">
        <f t="shared" si="12"/>
        <v>0</v>
      </c>
      <c r="AJ38" s="3"/>
      <c r="AK38" s="3">
        <f t="shared" si="6"/>
        <v>0</v>
      </c>
      <c r="AL38" s="3">
        <f t="shared" si="13"/>
        <v>0</v>
      </c>
      <c r="AM38" s="3"/>
      <c r="AN38" s="29"/>
      <c r="AP38" s="5"/>
      <c r="AQ38" s="5"/>
      <c r="AR38" s="5"/>
      <c r="AS38" s="5"/>
    </row>
    <row r="39" spans="1:45" s="81" customFormat="1" ht="23.25">
      <c r="A39" s="82" t="s">
        <v>80</v>
      </c>
      <c r="B39" s="82">
        <v>428</v>
      </c>
      <c r="C39" s="25">
        <v>3701</v>
      </c>
      <c r="D39" s="82">
        <v>500</v>
      </c>
      <c r="E39" s="82" t="s">
        <v>92</v>
      </c>
      <c r="F39" s="36" t="s">
        <v>181</v>
      </c>
      <c r="G39" s="36" t="s">
        <v>182</v>
      </c>
      <c r="H39" s="44">
        <v>0.36</v>
      </c>
      <c r="I39" s="34">
        <v>2</v>
      </c>
      <c r="J39" s="82" t="s">
        <v>227</v>
      </c>
      <c r="K39" s="83">
        <v>42231</v>
      </c>
      <c r="L39" s="13" t="s">
        <v>114</v>
      </c>
      <c r="M39" s="99">
        <v>0.125</v>
      </c>
      <c r="N39" s="99">
        <v>0</v>
      </c>
      <c r="O39" s="99">
        <v>0.05</v>
      </c>
      <c r="P39" s="99">
        <v>0</v>
      </c>
      <c r="Q39" s="99">
        <v>2.42</v>
      </c>
      <c r="R39" s="99">
        <v>0.17499999999999999</v>
      </c>
      <c r="S39" s="99">
        <v>0</v>
      </c>
      <c r="T39" s="99">
        <v>0</v>
      </c>
      <c r="U39" s="99">
        <v>0</v>
      </c>
      <c r="V39" s="99">
        <v>4.7149999999999999</v>
      </c>
      <c r="W39" s="99">
        <v>0</v>
      </c>
      <c r="X39" s="99">
        <v>0</v>
      </c>
      <c r="Y39" s="99">
        <f t="shared" si="5"/>
        <v>0.17499999999999999</v>
      </c>
      <c r="Z39" s="99">
        <v>0.93300000000000005</v>
      </c>
      <c r="AA39" s="100">
        <v>0</v>
      </c>
      <c r="AB39" s="99">
        <v>0</v>
      </c>
      <c r="AC39" s="99">
        <f t="shared" si="9"/>
        <v>0</v>
      </c>
      <c r="AD39" s="99">
        <v>0</v>
      </c>
      <c r="AE39" s="99">
        <f t="shared" si="10"/>
        <v>0</v>
      </c>
      <c r="AF39" s="99">
        <v>0</v>
      </c>
      <c r="AG39" s="99">
        <f t="shared" si="11"/>
        <v>0</v>
      </c>
      <c r="AH39" s="99">
        <v>0</v>
      </c>
      <c r="AI39" s="99">
        <f t="shared" si="12"/>
        <v>0</v>
      </c>
      <c r="AJ39" s="3"/>
      <c r="AK39" s="3">
        <f t="shared" si="6"/>
        <v>0</v>
      </c>
      <c r="AL39" s="3">
        <f t="shared" si="13"/>
        <v>0</v>
      </c>
      <c r="AM39" s="3"/>
      <c r="AN39" s="29"/>
      <c r="AP39" s="5"/>
      <c r="AQ39" s="5"/>
      <c r="AR39" s="5"/>
      <c r="AS39" s="5"/>
    </row>
    <row r="40" spans="1:45" s="81" customFormat="1" ht="23.25">
      <c r="A40" s="82" t="s">
        <v>80</v>
      </c>
      <c r="B40" s="82">
        <v>428</v>
      </c>
      <c r="C40" s="25">
        <v>3701</v>
      </c>
      <c r="D40" s="82">
        <v>500</v>
      </c>
      <c r="E40" s="82" t="s">
        <v>92</v>
      </c>
      <c r="F40" s="36" t="s">
        <v>122</v>
      </c>
      <c r="G40" s="36" t="s">
        <v>183</v>
      </c>
      <c r="H40" s="44">
        <v>0.41899999999999998</v>
      </c>
      <c r="I40" s="34">
        <v>2</v>
      </c>
      <c r="J40" s="82" t="s">
        <v>227</v>
      </c>
      <c r="K40" s="83">
        <v>42232</v>
      </c>
      <c r="L40" s="13" t="s">
        <v>114</v>
      </c>
      <c r="M40" s="99">
        <v>0.27500000000000002</v>
      </c>
      <c r="N40" s="99">
        <v>2.5000000000000001E-2</v>
      </c>
      <c r="O40" s="99">
        <v>0.05</v>
      </c>
      <c r="P40" s="99">
        <v>0.125</v>
      </c>
      <c r="Q40" s="99">
        <v>3.8820000000000001</v>
      </c>
      <c r="R40" s="99">
        <v>0.47499999999999998</v>
      </c>
      <c r="S40" s="99">
        <v>0</v>
      </c>
      <c r="T40" s="99">
        <v>0</v>
      </c>
      <c r="U40" s="99">
        <v>0</v>
      </c>
      <c r="V40" s="99">
        <v>3.7149999999999999</v>
      </c>
      <c r="W40" s="99">
        <v>0</v>
      </c>
      <c r="X40" s="99">
        <v>0</v>
      </c>
      <c r="Y40" s="99">
        <f t="shared" si="5"/>
        <v>0.47500000000000003</v>
      </c>
      <c r="Z40" s="99">
        <v>1.2170000000000001</v>
      </c>
      <c r="AA40" s="100">
        <v>0</v>
      </c>
      <c r="AB40" s="99">
        <v>0</v>
      </c>
      <c r="AC40" s="99">
        <f t="shared" si="9"/>
        <v>0</v>
      </c>
      <c r="AD40" s="99">
        <v>0</v>
      </c>
      <c r="AE40" s="99">
        <f t="shared" si="10"/>
        <v>0</v>
      </c>
      <c r="AF40" s="99">
        <v>0</v>
      </c>
      <c r="AG40" s="99">
        <f t="shared" si="11"/>
        <v>0</v>
      </c>
      <c r="AH40" s="99">
        <v>0</v>
      </c>
      <c r="AI40" s="99">
        <f t="shared" si="12"/>
        <v>0</v>
      </c>
      <c r="AJ40" s="3"/>
      <c r="AK40" s="3">
        <f t="shared" si="6"/>
        <v>0</v>
      </c>
      <c r="AL40" s="3">
        <f t="shared" si="13"/>
        <v>0</v>
      </c>
      <c r="AM40" s="3"/>
      <c r="AN40" s="29"/>
      <c r="AP40" s="5"/>
      <c r="AQ40" s="5"/>
      <c r="AR40" s="5"/>
      <c r="AS40" s="5"/>
    </row>
    <row r="41" spans="1:45" s="81" customFormat="1" ht="23.25">
      <c r="A41" s="82" t="s">
        <v>80</v>
      </c>
      <c r="B41" s="82">
        <v>428</v>
      </c>
      <c r="C41" s="25">
        <v>3701</v>
      </c>
      <c r="D41" s="82">
        <v>500</v>
      </c>
      <c r="E41" s="82" t="s">
        <v>92</v>
      </c>
      <c r="F41" s="36" t="s">
        <v>184</v>
      </c>
      <c r="G41" s="36" t="s">
        <v>123</v>
      </c>
      <c r="H41" s="44">
        <v>0.29399999999999998</v>
      </c>
      <c r="I41" s="34">
        <v>2</v>
      </c>
      <c r="J41" s="82" t="s">
        <v>227</v>
      </c>
      <c r="K41" s="83">
        <v>42232</v>
      </c>
      <c r="L41" s="13" t="s">
        <v>114</v>
      </c>
      <c r="M41" s="99">
        <v>0</v>
      </c>
      <c r="N41" s="99">
        <v>0.1</v>
      </c>
      <c r="O41" s="99">
        <v>0.17499999999999999</v>
      </c>
      <c r="P41" s="99">
        <v>2.5000000000000001E-2</v>
      </c>
      <c r="Q41" s="99">
        <v>3.8879999999999999</v>
      </c>
      <c r="R41" s="99">
        <v>0.3</v>
      </c>
      <c r="S41" s="99">
        <v>0</v>
      </c>
      <c r="T41" s="99">
        <v>0</v>
      </c>
      <c r="U41" s="99">
        <v>0</v>
      </c>
      <c r="V41" s="99">
        <v>3.6819999999999999</v>
      </c>
      <c r="W41" s="99">
        <v>0</v>
      </c>
      <c r="X41" s="99">
        <v>0</v>
      </c>
      <c r="Y41" s="99">
        <f t="shared" si="5"/>
        <v>0.30000000000000004</v>
      </c>
      <c r="Z41" s="99">
        <v>0.93500000000000005</v>
      </c>
      <c r="AA41" s="100">
        <v>0</v>
      </c>
      <c r="AB41" s="99">
        <v>0</v>
      </c>
      <c r="AC41" s="99">
        <f t="shared" si="9"/>
        <v>0</v>
      </c>
      <c r="AD41" s="99">
        <v>0</v>
      </c>
      <c r="AE41" s="99">
        <f t="shared" si="10"/>
        <v>0</v>
      </c>
      <c r="AF41" s="99">
        <v>0</v>
      </c>
      <c r="AG41" s="99">
        <f t="shared" si="11"/>
        <v>0</v>
      </c>
      <c r="AH41" s="99">
        <v>0</v>
      </c>
      <c r="AI41" s="99">
        <f t="shared" si="12"/>
        <v>0</v>
      </c>
      <c r="AJ41" s="3"/>
      <c r="AK41" s="3">
        <f t="shared" si="6"/>
        <v>0</v>
      </c>
      <c r="AL41" s="3">
        <f t="shared" si="13"/>
        <v>0</v>
      </c>
      <c r="AM41" s="3"/>
      <c r="AN41" s="29"/>
      <c r="AP41" s="5"/>
      <c r="AQ41" s="5"/>
      <c r="AR41" s="5"/>
      <c r="AS41" s="5"/>
    </row>
    <row r="42" spans="1:45" s="81" customFormat="1" ht="23.25">
      <c r="A42" s="82" t="s">
        <v>80</v>
      </c>
      <c r="B42" s="82">
        <v>428</v>
      </c>
      <c r="C42" s="25">
        <v>3702</v>
      </c>
      <c r="D42" s="82">
        <v>500</v>
      </c>
      <c r="E42" s="82" t="s">
        <v>92</v>
      </c>
      <c r="F42" s="36" t="s">
        <v>151</v>
      </c>
      <c r="G42" s="36" t="s">
        <v>110</v>
      </c>
      <c r="H42" s="44">
        <v>1.21</v>
      </c>
      <c r="I42" s="34">
        <v>2</v>
      </c>
      <c r="J42" s="82" t="s">
        <v>95</v>
      </c>
      <c r="K42" s="83">
        <v>42232</v>
      </c>
      <c r="L42" s="13" t="s">
        <v>114</v>
      </c>
      <c r="M42" s="99">
        <v>0.42499999999999999</v>
      </c>
      <c r="N42" s="99">
        <v>0.4</v>
      </c>
      <c r="O42" s="99">
        <v>0.3</v>
      </c>
      <c r="P42" s="99">
        <v>7.4999999999999997E-2</v>
      </c>
      <c r="Q42" s="99">
        <v>3.0859999999999999</v>
      </c>
      <c r="R42" s="99">
        <v>1.125</v>
      </c>
      <c r="S42" s="99">
        <v>7.4999999999999997E-2</v>
      </c>
      <c r="T42" s="99">
        <v>0</v>
      </c>
      <c r="U42" s="99">
        <v>0</v>
      </c>
      <c r="V42" s="99">
        <v>6.3710000000000004</v>
      </c>
      <c r="W42" s="99">
        <v>0</v>
      </c>
      <c r="X42" s="99">
        <v>0</v>
      </c>
      <c r="Y42" s="99">
        <f t="shared" si="5"/>
        <v>1.2</v>
      </c>
      <c r="Z42" s="99">
        <v>1.232</v>
      </c>
      <c r="AA42" s="100">
        <v>0</v>
      </c>
      <c r="AB42" s="99">
        <v>2.4500000000000002</v>
      </c>
      <c r="AC42" s="99">
        <f t="shared" si="9"/>
        <v>2.8925619834710752E-2</v>
      </c>
      <c r="AD42" s="99">
        <v>0</v>
      </c>
      <c r="AE42" s="99">
        <f t="shared" si="10"/>
        <v>0</v>
      </c>
      <c r="AF42" s="99">
        <v>0</v>
      </c>
      <c r="AG42" s="99">
        <f t="shared" si="11"/>
        <v>0</v>
      </c>
      <c r="AH42" s="99">
        <v>0</v>
      </c>
      <c r="AI42" s="99">
        <f t="shared" si="12"/>
        <v>0</v>
      </c>
      <c r="AJ42" s="3"/>
      <c r="AK42" s="3">
        <f t="shared" si="6"/>
        <v>1.2250000000000001</v>
      </c>
      <c r="AL42" s="3">
        <f t="shared" si="13"/>
        <v>1.4822500000000001</v>
      </c>
      <c r="AM42" s="3"/>
      <c r="AN42" s="29"/>
      <c r="AP42" s="5"/>
      <c r="AQ42" s="5"/>
      <c r="AR42" s="5"/>
      <c r="AS42" s="5"/>
    </row>
    <row r="43" spans="1:45" s="81" customFormat="1" ht="23.25">
      <c r="A43" s="82" t="s">
        <v>80</v>
      </c>
      <c r="B43" s="82">
        <v>428</v>
      </c>
      <c r="C43" s="25">
        <v>3702</v>
      </c>
      <c r="D43" s="82">
        <v>500</v>
      </c>
      <c r="E43" s="82" t="s">
        <v>92</v>
      </c>
      <c r="F43" s="36" t="s">
        <v>153</v>
      </c>
      <c r="G43" s="36" t="s">
        <v>152</v>
      </c>
      <c r="H43" s="44">
        <v>0.85</v>
      </c>
      <c r="I43" s="34">
        <v>2</v>
      </c>
      <c r="J43" s="82" t="s">
        <v>95</v>
      </c>
      <c r="K43" s="83">
        <v>42232</v>
      </c>
      <c r="L43" s="13" t="s">
        <v>114</v>
      </c>
      <c r="M43" s="99">
        <v>0.7</v>
      </c>
      <c r="N43" s="99">
        <v>0.15</v>
      </c>
      <c r="O43" s="99">
        <v>7.4999999999999997E-2</v>
      </c>
      <c r="P43" s="99">
        <v>0</v>
      </c>
      <c r="Q43" s="99">
        <v>2.1480000000000001</v>
      </c>
      <c r="R43" s="99">
        <v>0.92500000000000004</v>
      </c>
      <c r="S43" s="99">
        <v>0</v>
      </c>
      <c r="T43" s="99">
        <v>0</v>
      </c>
      <c r="U43" s="99">
        <v>0</v>
      </c>
      <c r="V43" s="99">
        <v>5.0890000000000004</v>
      </c>
      <c r="W43" s="99">
        <v>0</v>
      </c>
      <c r="X43" s="99">
        <v>0</v>
      </c>
      <c r="Y43" s="99">
        <f t="shared" si="5"/>
        <v>0.92499999999999993</v>
      </c>
      <c r="Z43" s="99">
        <v>1.1930000000000001</v>
      </c>
      <c r="AA43" s="100">
        <v>0</v>
      </c>
      <c r="AB43" s="99">
        <v>0</v>
      </c>
      <c r="AC43" s="99">
        <f t="shared" si="9"/>
        <v>0</v>
      </c>
      <c r="AD43" s="99">
        <v>0</v>
      </c>
      <c r="AE43" s="99">
        <f t="shared" si="10"/>
        <v>0</v>
      </c>
      <c r="AF43" s="99">
        <v>0</v>
      </c>
      <c r="AG43" s="99">
        <f t="shared" si="11"/>
        <v>0</v>
      </c>
      <c r="AH43" s="99">
        <v>0</v>
      </c>
      <c r="AI43" s="99">
        <f t="shared" si="12"/>
        <v>0</v>
      </c>
      <c r="AJ43" s="3"/>
      <c r="AK43" s="3">
        <f t="shared" si="6"/>
        <v>0</v>
      </c>
      <c r="AL43" s="3">
        <f t="shared" si="13"/>
        <v>0</v>
      </c>
      <c r="AM43" s="3"/>
      <c r="AN43" s="29"/>
      <c r="AP43" s="5"/>
      <c r="AQ43" s="5"/>
      <c r="AR43" s="5"/>
      <c r="AS43" s="5"/>
    </row>
    <row r="44" spans="1:45" s="81" customFormat="1" ht="23.25">
      <c r="A44" s="82" t="s">
        <v>80</v>
      </c>
      <c r="B44" s="82">
        <v>428</v>
      </c>
      <c r="C44" s="25">
        <v>3702</v>
      </c>
      <c r="D44" s="82">
        <v>500</v>
      </c>
      <c r="E44" s="82" t="s">
        <v>92</v>
      </c>
      <c r="F44" s="36" t="s">
        <v>155</v>
      </c>
      <c r="G44" s="36" t="s">
        <v>154</v>
      </c>
      <c r="H44" s="44">
        <v>1.1499999999999999</v>
      </c>
      <c r="I44" s="34">
        <v>2</v>
      </c>
      <c r="J44" s="82" t="s">
        <v>95</v>
      </c>
      <c r="K44" s="83">
        <v>42232</v>
      </c>
      <c r="L44" s="13" t="s">
        <v>114</v>
      </c>
      <c r="M44" s="99">
        <v>0.65</v>
      </c>
      <c r="N44" s="99">
        <v>0.3</v>
      </c>
      <c r="O44" s="99">
        <v>0.17499999999999999</v>
      </c>
      <c r="P44" s="99">
        <v>0</v>
      </c>
      <c r="Q44" s="99">
        <v>2.3940000000000001</v>
      </c>
      <c r="R44" s="99">
        <v>1.075</v>
      </c>
      <c r="S44" s="99">
        <v>0.05</v>
      </c>
      <c r="T44" s="99">
        <v>0</v>
      </c>
      <c r="U44" s="99">
        <v>0</v>
      </c>
      <c r="V44" s="99">
        <v>5.1970000000000001</v>
      </c>
      <c r="W44" s="99">
        <v>0</v>
      </c>
      <c r="X44" s="99">
        <v>0</v>
      </c>
      <c r="Y44" s="99">
        <f t="shared" si="5"/>
        <v>1.125</v>
      </c>
      <c r="Z44" s="99">
        <v>1.163</v>
      </c>
      <c r="AA44" s="100">
        <v>0</v>
      </c>
      <c r="AB44" s="99">
        <v>1.32</v>
      </c>
      <c r="AC44" s="99">
        <f t="shared" si="9"/>
        <v>1.6397515527950313E-2</v>
      </c>
      <c r="AD44" s="99">
        <v>0</v>
      </c>
      <c r="AE44" s="99">
        <f t="shared" si="10"/>
        <v>0</v>
      </c>
      <c r="AF44" s="99">
        <v>0</v>
      </c>
      <c r="AG44" s="99">
        <f t="shared" si="11"/>
        <v>0</v>
      </c>
      <c r="AH44" s="99">
        <v>0</v>
      </c>
      <c r="AI44" s="99">
        <f t="shared" si="12"/>
        <v>0</v>
      </c>
      <c r="AJ44" s="3"/>
      <c r="AK44" s="3">
        <f t="shared" si="6"/>
        <v>0.66</v>
      </c>
      <c r="AL44" s="3">
        <f t="shared" si="13"/>
        <v>0.75900000000000001</v>
      </c>
      <c r="AM44" s="3"/>
      <c r="AN44" s="29"/>
      <c r="AP44" s="5"/>
      <c r="AQ44" s="5"/>
      <c r="AR44" s="5"/>
      <c r="AS44" s="5"/>
    </row>
    <row r="45" spans="1:45" s="81" customFormat="1" ht="23.25">
      <c r="A45" s="82" t="s">
        <v>80</v>
      </c>
      <c r="B45" s="82">
        <v>428</v>
      </c>
      <c r="C45" s="25">
        <v>3702</v>
      </c>
      <c r="D45" s="82">
        <v>500</v>
      </c>
      <c r="E45" s="82" t="s">
        <v>92</v>
      </c>
      <c r="F45" s="36" t="s">
        <v>157</v>
      </c>
      <c r="G45" s="36" t="s">
        <v>156</v>
      </c>
      <c r="H45" s="44">
        <v>6.5</v>
      </c>
      <c r="I45" s="34">
        <v>2</v>
      </c>
      <c r="J45" s="82" t="s">
        <v>95</v>
      </c>
      <c r="K45" s="83">
        <v>42232</v>
      </c>
      <c r="L45" s="13" t="s">
        <v>114</v>
      </c>
      <c r="M45" s="99">
        <v>5.7</v>
      </c>
      <c r="N45" s="99">
        <v>0.67500000000000004</v>
      </c>
      <c r="O45" s="99">
        <v>0.2</v>
      </c>
      <c r="P45" s="99">
        <v>0</v>
      </c>
      <c r="Q45" s="99">
        <v>1.899</v>
      </c>
      <c r="R45" s="99">
        <v>6.5</v>
      </c>
      <c r="S45" s="99">
        <v>7.4999999999999997E-2</v>
      </c>
      <c r="T45" s="99">
        <v>0</v>
      </c>
      <c r="U45" s="99">
        <v>0</v>
      </c>
      <c r="V45" s="99">
        <v>4.9349999999999996</v>
      </c>
      <c r="W45" s="99">
        <v>0</v>
      </c>
      <c r="X45" s="99">
        <v>0</v>
      </c>
      <c r="Y45" s="99">
        <f t="shared" si="5"/>
        <v>6.5750000000000002</v>
      </c>
      <c r="Z45" s="99">
        <v>1.0920000000000001</v>
      </c>
      <c r="AA45" s="100">
        <v>0</v>
      </c>
      <c r="AB45" s="99">
        <v>1.84</v>
      </c>
      <c r="AC45" s="99">
        <f t="shared" si="9"/>
        <v>4.0439560439560441E-3</v>
      </c>
      <c r="AD45" s="99">
        <v>0</v>
      </c>
      <c r="AE45" s="99">
        <f t="shared" si="10"/>
        <v>0</v>
      </c>
      <c r="AF45" s="99">
        <v>0</v>
      </c>
      <c r="AG45" s="99">
        <f t="shared" si="11"/>
        <v>0</v>
      </c>
      <c r="AH45" s="99">
        <v>0</v>
      </c>
      <c r="AI45" s="99">
        <f t="shared" si="12"/>
        <v>0</v>
      </c>
      <c r="AJ45" s="3"/>
      <c r="AK45" s="3">
        <f t="shared" si="6"/>
        <v>0.92</v>
      </c>
      <c r="AL45" s="3">
        <f t="shared" si="13"/>
        <v>5.98</v>
      </c>
      <c r="AM45" s="3"/>
      <c r="AN45" s="29"/>
      <c r="AP45" s="5"/>
      <c r="AQ45" s="5"/>
      <c r="AR45" s="5"/>
      <c r="AS45" s="5"/>
    </row>
    <row r="46" spans="1:45" s="81" customFormat="1" ht="23.25">
      <c r="A46" s="82" t="s">
        <v>80</v>
      </c>
      <c r="B46" s="82">
        <v>428</v>
      </c>
      <c r="C46" s="25">
        <v>3702</v>
      </c>
      <c r="D46" s="82">
        <v>500</v>
      </c>
      <c r="E46" s="82" t="s">
        <v>92</v>
      </c>
      <c r="F46" s="36" t="s">
        <v>158</v>
      </c>
      <c r="G46" s="36" t="s">
        <v>157</v>
      </c>
      <c r="H46" s="44">
        <v>0.5</v>
      </c>
      <c r="I46" s="34">
        <v>2</v>
      </c>
      <c r="J46" s="82" t="s">
        <v>95</v>
      </c>
      <c r="K46" s="83">
        <v>42232</v>
      </c>
      <c r="L46" s="13" t="s">
        <v>114</v>
      </c>
      <c r="M46" s="99">
        <v>0.27500000000000002</v>
      </c>
      <c r="N46" s="99">
        <v>0.15</v>
      </c>
      <c r="O46" s="99">
        <v>7.4999999999999997E-2</v>
      </c>
      <c r="P46" s="99">
        <v>2.5000000000000001E-2</v>
      </c>
      <c r="Q46" s="99">
        <v>2.649</v>
      </c>
      <c r="R46" s="99">
        <v>0.45</v>
      </c>
      <c r="S46" s="99">
        <v>7.4999999999999997E-2</v>
      </c>
      <c r="T46" s="99">
        <v>0</v>
      </c>
      <c r="U46" s="99">
        <v>0</v>
      </c>
      <c r="V46" s="99">
        <v>6.4859999999999998</v>
      </c>
      <c r="W46" s="99">
        <v>0</v>
      </c>
      <c r="X46" s="99">
        <v>0</v>
      </c>
      <c r="Y46" s="99">
        <f t="shared" si="5"/>
        <v>0.52500000000000002</v>
      </c>
      <c r="Z46" s="99">
        <v>0.88400000000000001</v>
      </c>
      <c r="AA46" s="100">
        <v>0</v>
      </c>
      <c r="AB46" s="99">
        <v>0</v>
      </c>
      <c r="AC46" s="99">
        <f t="shared" si="9"/>
        <v>0</v>
      </c>
      <c r="AD46" s="99">
        <v>0</v>
      </c>
      <c r="AE46" s="99">
        <f t="shared" si="10"/>
        <v>0</v>
      </c>
      <c r="AF46" s="99">
        <v>0</v>
      </c>
      <c r="AG46" s="99">
        <f t="shared" si="11"/>
        <v>0</v>
      </c>
      <c r="AH46" s="99">
        <v>0</v>
      </c>
      <c r="AI46" s="99">
        <f t="shared" si="12"/>
        <v>0</v>
      </c>
      <c r="AJ46" s="3"/>
      <c r="AK46" s="3">
        <f t="shared" si="6"/>
        <v>0</v>
      </c>
      <c r="AL46" s="3">
        <f t="shared" si="13"/>
        <v>0</v>
      </c>
      <c r="AM46" s="3"/>
      <c r="AN46" s="29"/>
      <c r="AP46" s="5"/>
      <c r="AQ46" s="5"/>
      <c r="AR46" s="5"/>
      <c r="AS46" s="5"/>
    </row>
    <row r="47" spans="1:45" s="81" customFormat="1" ht="23.25">
      <c r="A47" s="82" t="s">
        <v>80</v>
      </c>
      <c r="B47" s="82">
        <v>428</v>
      </c>
      <c r="C47" s="25">
        <v>3702</v>
      </c>
      <c r="D47" s="82">
        <v>500</v>
      </c>
      <c r="E47" s="82" t="s">
        <v>92</v>
      </c>
      <c r="F47" s="36" t="s">
        <v>185</v>
      </c>
      <c r="G47" s="36" t="s">
        <v>159</v>
      </c>
      <c r="H47" s="44">
        <v>0.23</v>
      </c>
      <c r="I47" s="34">
        <v>2</v>
      </c>
      <c r="J47" s="82" t="s">
        <v>95</v>
      </c>
      <c r="K47" s="83">
        <v>42232</v>
      </c>
      <c r="L47" s="13" t="s">
        <v>114</v>
      </c>
      <c r="M47" s="99">
        <v>0.17499999999999999</v>
      </c>
      <c r="N47" s="99">
        <v>0.125</v>
      </c>
      <c r="O47" s="99">
        <v>0.05</v>
      </c>
      <c r="P47" s="99">
        <v>0.05</v>
      </c>
      <c r="Q47" s="99">
        <v>3.0710000000000002</v>
      </c>
      <c r="R47" s="99">
        <v>0.4</v>
      </c>
      <c r="S47" s="99">
        <v>0</v>
      </c>
      <c r="T47" s="99">
        <v>0</v>
      </c>
      <c r="U47" s="99">
        <v>0</v>
      </c>
      <c r="V47" s="99">
        <v>3.9350000000000001</v>
      </c>
      <c r="W47" s="99">
        <v>0</v>
      </c>
      <c r="X47" s="99">
        <v>0</v>
      </c>
      <c r="Y47" s="99">
        <f t="shared" si="5"/>
        <v>0.39999999999999997</v>
      </c>
      <c r="Z47" s="99">
        <v>0.97599999999999998</v>
      </c>
      <c r="AA47" s="100">
        <v>0</v>
      </c>
      <c r="AB47" s="99">
        <v>0</v>
      </c>
      <c r="AC47" s="99">
        <f t="shared" si="9"/>
        <v>0</v>
      </c>
      <c r="AD47" s="99">
        <v>0</v>
      </c>
      <c r="AE47" s="99">
        <f t="shared" si="10"/>
        <v>0</v>
      </c>
      <c r="AF47" s="99">
        <v>0</v>
      </c>
      <c r="AG47" s="99">
        <f t="shared" si="11"/>
        <v>0</v>
      </c>
      <c r="AH47" s="99">
        <v>0</v>
      </c>
      <c r="AI47" s="99">
        <f t="shared" si="12"/>
        <v>0</v>
      </c>
      <c r="AJ47" s="3"/>
      <c r="AK47" s="3">
        <f t="shared" si="6"/>
        <v>0</v>
      </c>
      <c r="AL47" s="3">
        <f t="shared" si="13"/>
        <v>0</v>
      </c>
      <c r="AM47" s="3"/>
      <c r="AN47" s="29"/>
      <c r="AP47" s="5"/>
      <c r="AQ47" s="5"/>
      <c r="AR47" s="5"/>
      <c r="AS47" s="5"/>
    </row>
    <row r="48" spans="1:45" s="81" customFormat="1" ht="23.25">
      <c r="A48" s="82" t="s">
        <v>80</v>
      </c>
      <c r="B48" s="82">
        <v>428</v>
      </c>
      <c r="C48" s="25">
        <v>3702</v>
      </c>
      <c r="D48" s="82">
        <v>500</v>
      </c>
      <c r="E48" s="82" t="s">
        <v>92</v>
      </c>
      <c r="F48" s="36" t="s">
        <v>162</v>
      </c>
      <c r="G48" s="36" t="s">
        <v>186</v>
      </c>
      <c r="H48" s="44">
        <v>2.6</v>
      </c>
      <c r="I48" s="34">
        <v>2</v>
      </c>
      <c r="J48" s="82" t="s">
        <v>95</v>
      </c>
      <c r="K48" s="83">
        <v>42232</v>
      </c>
      <c r="L48" s="13" t="s">
        <v>114</v>
      </c>
      <c r="M48" s="99">
        <v>2.0499999999999998</v>
      </c>
      <c r="N48" s="99">
        <v>0.42499999999999999</v>
      </c>
      <c r="O48" s="99">
        <v>0.15</v>
      </c>
      <c r="P48" s="99">
        <v>2.5000000000000001E-2</v>
      </c>
      <c r="Q48" s="99">
        <v>2.1419999999999999</v>
      </c>
      <c r="R48" s="99">
        <v>2.4750000000000001</v>
      </c>
      <c r="S48" s="99">
        <v>0.15</v>
      </c>
      <c r="T48" s="99">
        <v>2.5000000000000001E-2</v>
      </c>
      <c r="U48" s="99">
        <v>0</v>
      </c>
      <c r="V48" s="99">
        <v>5.1369999999999996</v>
      </c>
      <c r="W48" s="99">
        <v>0</v>
      </c>
      <c r="X48" s="99">
        <v>0</v>
      </c>
      <c r="Y48" s="99">
        <f t="shared" si="5"/>
        <v>2.6499999999999995</v>
      </c>
      <c r="Z48" s="99">
        <v>1.278</v>
      </c>
      <c r="AA48" s="100">
        <v>0</v>
      </c>
      <c r="AB48" s="99">
        <v>0</v>
      </c>
      <c r="AC48" s="99">
        <f t="shared" si="9"/>
        <v>0</v>
      </c>
      <c r="AD48" s="99">
        <v>0</v>
      </c>
      <c r="AE48" s="99">
        <f t="shared" si="10"/>
        <v>0</v>
      </c>
      <c r="AF48" s="99">
        <v>0</v>
      </c>
      <c r="AG48" s="99">
        <f t="shared" si="11"/>
        <v>0</v>
      </c>
      <c r="AH48" s="99">
        <v>0</v>
      </c>
      <c r="AI48" s="99">
        <f t="shared" si="12"/>
        <v>0</v>
      </c>
      <c r="AJ48" s="3"/>
      <c r="AK48" s="3">
        <f t="shared" si="6"/>
        <v>0</v>
      </c>
      <c r="AL48" s="3">
        <f t="shared" si="13"/>
        <v>0</v>
      </c>
      <c r="AM48" s="3"/>
      <c r="AN48" s="29"/>
      <c r="AP48" s="5"/>
      <c r="AQ48" s="5"/>
      <c r="AR48" s="5"/>
      <c r="AS48" s="5"/>
    </row>
    <row r="49" spans="1:45" s="81" customFormat="1" ht="23.25">
      <c r="A49" s="82" t="s">
        <v>80</v>
      </c>
      <c r="B49" s="82">
        <v>428</v>
      </c>
      <c r="C49" s="25">
        <v>3702</v>
      </c>
      <c r="D49" s="82">
        <v>500</v>
      </c>
      <c r="E49" s="82" t="s">
        <v>92</v>
      </c>
      <c r="F49" s="36" t="s">
        <v>164</v>
      </c>
      <c r="G49" s="36" t="s">
        <v>163</v>
      </c>
      <c r="H49" s="44">
        <v>0.35</v>
      </c>
      <c r="I49" s="34">
        <v>2</v>
      </c>
      <c r="J49" s="82" t="s">
        <v>95</v>
      </c>
      <c r="K49" s="83">
        <v>42232</v>
      </c>
      <c r="L49" s="13" t="s">
        <v>114</v>
      </c>
      <c r="M49" s="99">
        <v>0.25</v>
      </c>
      <c r="N49" s="99">
        <v>0.05</v>
      </c>
      <c r="O49" s="99">
        <v>0.05</v>
      </c>
      <c r="P49" s="99">
        <v>0</v>
      </c>
      <c r="Q49" s="99">
        <v>2.496</v>
      </c>
      <c r="R49" s="99">
        <v>0.25</v>
      </c>
      <c r="S49" s="99">
        <v>0.1</v>
      </c>
      <c r="T49" s="99">
        <v>0</v>
      </c>
      <c r="U49" s="99">
        <v>0</v>
      </c>
      <c r="V49" s="99">
        <v>7.6680000000000001</v>
      </c>
      <c r="W49" s="99">
        <v>0</v>
      </c>
      <c r="X49" s="99">
        <v>0</v>
      </c>
      <c r="Y49" s="99">
        <f t="shared" si="5"/>
        <v>0.35</v>
      </c>
      <c r="Z49" s="99">
        <v>1.119</v>
      </c>
      <c r="AA49" s="100">
        <v>0</v>
      </c>
      <c r="AB49" s="99">
        <v>0</v>
      </c>
      <c r="AC49" s="99">
        <f t="shared" si="9"/>
        <v>0</v>
      </c>
      <c r="AD49" s="99">
        <v>0</v>
      </c>
      <c r="AE49" s="99">
        <f t="shared" si="10"/>
        <v>0</v>
      </c>
      <c r="AF49" s="99">
        <v>0</v>
      </c>
      <c r="AG49" s="99">
        <f t="shared" si="11"/>
        <v>0</v>
      </c>
      <c r="AH49" s="99">
        <v>0</v>
      </c>
      <c r="AI49" s="99">
        <f t="shared" si="12"/>
        <v>0</v>
      </c>
      <c r="AJ49" s="3"/>
      <c r="AK49" s="3">
        <f t="shared" si="6"/>
        <v>0</v>
      </c>
      <c r="AL49" s="3">
        <f t="shared" si="13"/>
        <v>0</v>
      </c>
      <c r="AM49" s="3"/>
      <c r="AN49" s="29"/>
      <c r="AP49" s="5"/>
      <c r="AQ49" s="5"/>
      <c r="AR49" s="5"/>
      <c r="AS49" s="5"/>
    </row>
    <row r="50" spans="1:45" s="81" customFormat="1" ht="23.25">
      <c r="A50" s="82" t="s">
        <v>80</v>
      </c>
      <c r="B50" s="82">
        <v>428</v>
      </c>
      <c r="C50" s="25">
        <v>3702</v>
      </c>
      <c r="D50" s="82">
        <v>500</v>
      </c>
      <c r="E50" s="82" t="s">
        <v>92</v>
      </c>
      <c r="F50" s="36" t="s">
        <v>166</v>
      </c>
      <c r="G50" s="36" t="s">
        <v>187</v>
      </c>
      <c r="H50" s="44">
        <v>0.6</v>
      </c>
      <c r="I50" s="34">
        <v>2</v>
      </c>
      <c r="J50" s="82" t="s">
        <v>95</v>
      </c>
      <c r="K50" s="83">
        <v>42232</v>
      </c>
      <c r="L50" s="13" t="s">
        <v>114</v>
      </c>
      <c r="M50" s="99">
        <v>0.625</v>
      </c>
      <c r="N50" s="99">
        <v>0</v>
      </c>
      <c r="O50" s="99">
        <v>0.05</v>
      </c>
      <c r="P50" s="99">
        <v>0</v>
      </c>
      <c r="Q50" s="99">
        <v>1.9059999999999999</v>
      </c>
      <c r="R50" s="99">
        <v>0.67500000000000004</v>
      </c>
      <c r="S50" s="99">
        <v>0</v>
      </c>
      <c r="T50" s="99">
        <v>0</v>
      </c>
      <c r="U50" s="99">
        <v>0</v>
      </c>
      <c r="V50" s="99">
        <v>3.3940000000000001</v>
      </c>
      <c r="W50" s="99">
        <v>0</v>
      </c>
      <c r="X50" s="99">
        <v>0</v>
      </c>
      <c r="Y50" s="99">
        <f t="shared" si="5"/>
        <v>0.67500000000000004</v>
      </c>
      <c r="Z50" s="99">
        <v>1.2749999999999999</v>
      </c>
      <c r="AA50" s="100">
        <v>0</v>
      </c>
      <c r="AB50" s="99">
        <v>0</v>
      </c>
      <c r="AC50" s="99">
        <f t="shared" si="9"/>
        <v>0</v>
      </c>
      <c r="AD50" s="99">
        <v>0</v>
      </c>
      <c r="AE50" s="99">
        <f t="shared" si="10"/>
        <v>0</v>
      </c>
      <c r="AF50" s="99">
        <v>0</v>
      </c>
      <c r="AG50" s="99">
        <f t="shared" si="11"/>
        <v>0</v>
      </c>
      <c r="AH50" s="99">
        <v>0</v>
      </c>
      <c r="AI50" s="99">
        <f t="shared" si="12"/>
        <v>0</v>
      </c>
      <c r="AJ50" s="3"/>
      <c r="AK50" s="3">
        <f t="shared" si="6"/>
        <v>0</v>
      </c>
      <c r="AL50" s="3">
        <f t="shared" si="13"/>
        <v>0</v>
      </c>
      <c r="AM50" s="3"/>
      <c r="AN50" s="29"/>
      <c r="AP50" s="5"/>
      <c r="AQ50" s="5"/>
      <c r="AR50" s="5"/>
      <c r="AS50" s="5"/>
    </row>
    <row r="51" spans="1:45" s="81" customFormat="1" ht="23.25">
      <c r="A51" s="82" t="s">
        <v>80</v>
      </c>
      <c r="B51" s="82">
        <v>428</v>
      </c>
      <c r="C51" s="25">
        <v>3702</v>
      </c>
      <c r="D51" s="82">
        <v>500</v>
      </c>
      <c r="E51" s="82" t="s">
        <v>92</v>
      </c>
      <c r="F51" s="36" t="s">
        <v>168</v>
      </c>
      <c r="G51" s="36" t="s">
        <v>167</v>
      </c>
      <c r="H51" s="44">
        <v>1</v>
      </c>
      <c r="I51" s="34">
        <v>2</v>
      </c>
      <c r="J51" s="82" t="s">
        <v>95</v>
      </c>
      <c r="K51" s="83">
        <v>42232</v>
      </c>
      <c r="L51" s="13" t="s">
        <v>114</v>
      </c>
      <c r="M51" s="99">
        <v>0.92500000000000004</v>
      </c>
      <c r="N51" s="99">
        <v>7.4999999999999997E-2</v>
      </c>
      <c r="O51" s="99">
        <v>0</v>
      </c>
      <c r="P51" s="99">
        <v>2.5000000000000001E-2</v>
      </c>
      <c r="Q51" s="99">
        <v>1.8240000000000001</v>
      </c>
      <c r="R51" s="99">
        <v>1.0249999999999999</v>
      </c>
      <c r="S51" s="99">
        <v>0</v>
      </c>
      <c r="T51" s="99">
        <v>0</v>
      </c>
      <c r="U51" s="99">
        <v>0</v>
      </c>
      <c r="V51" s="99">
        <v>4.9779999999999998</v>
      </c>
      <c r="W51" s="99">
        <v>0</v>
      </c>
      <c r="X51" s="99">
        <v>0</v>
      </c>
      <c r="Y51" s="99">
        <f t="shared" si="5"/>
        <v>1.0249999999999999</v>
      </c>
      <c r="Z51" s="99">
        <v>1.3480000000000001</v>
      </c>
      <c r="AA51" s="100">
        <v>0</v>
      </c>
      <c r="AB51" s="99">
        <v>0</v>
      </c>
      <c r="AC51" s="99">
        <f t="shared" si="9"/>
        <v>0</v>
      </c>
      <c r="AD51" s="99">
        <v>0</v>
      </c>
      <c r="AE51" s="99">
        <f t="shared" si="10"/>
        <v>0</v>
      </c>
      <c r="AF51" s="99">
        <v>0</v>
      </c>
      <c r="AG51" s="99">
        <f t="shared" si="11"/>
        <v>0</v>
      </c>
      <c r="AH51" s="99">
        <v>0</v>
      </c>
      <c r="AI51" s="99">
        <f t="shared" si="12"/>
        <v>0</v>
      </c>
      <c r="AJ51" s="3"/>
      <c r="AK51" s="3">
        <f t="shared" si="6"/>
        <v>0</v>
      </c>
      <c r="AL51" s="3">
        <f t="shared" si="13"/>
        <v>0</v>
      </c>
      <c r="AM51" s="3"/>
      <c r="AN51" s="29"/>
      <c r="AP51" s="5"/>
      <c r="AQ51" s="5"/>
      <c r="AR51" s="5"/>
      <c r="AS51" s="5"/>
    </row>
    <row r="52" spans="1:45" s="81" customFormat="1" ht="23.25">
      <c r="A52" s="82" t="s">
        <v>80</v>
      </c>
      <c r="B52" s="82">
        <v>428</v>
      </c>
      <c r="C52" s="25">
        <v>3702</v>
      </c>
      <c r="D52" s="82">
        <v>500</v>
      </c>
      <c r="E52" s="82" t="s">
        <v>92</v>
      </c>
      <c r="F52" s="36" t="s">
        <v>188</v>
      </c>
      <c r="G52" s="36" t="s">
        <v>189</v>
      </c>
      <c r="H52" s="44">
        <v>1.665</v>
      </c>
      <c r="I52" s="34">
        <v>2</v>
      </c>
      <c r="J52" s="82" t="s">
        <v>95</v>
      </c>
      <c r="K52" s="83">
        <v>42232</v>
      </c>
      <c r="L52" s="13" t="s">
        <v>114</v>
      </c>
      <c r="M52" s="99">
        <v>1.425</v>
      </c>
      <c r="N52" s="99">
        <v>0.22500000000000001</v>
      </c>
      <c r="O52" s="99">
        <v>0.05</v>
      </c>
      <c r="P52" s="99">
        <v>0</v>
      </c>
      <c r="Q52" s="99">
        <v>1.881</v>
      </c>
      <c r="R52" s="99">
        <v>1.675</v>
      </c>
      <c r="S52" s="99">
        <v>2.5000000000000001E-2</v>
      </c>
      <c r="T52" s="99">
        <v>0</v>
      </c>
      <c r="U52" s="99">
        <v>0</v>
      </c>
      <c r="V52" s="99">
        <v>5.7480000000000002</v>
      </c>
      <c r="W52" s="99">
        <v>0</v>
      </c>
      <c r="X52" s="99">
        <v>0</v>
      </c>
      <c r="Y52" s="99">
        <f t="shared" si="5"/>
        <v>1.7000000000000002</v>
      </c>
      <c r="Z52" s="99">
        <v>1.31</v>
      </c>
      <c r="AA52" s="100">
        <v>0</v>
      </c>
      <c r="AB52" s="99">
        <v>0</v>
      </c>
      <c r="AC52" s="99">
        <f t="shared" si="9"/>
        <v>0</v>
      </c>
      <c r="AD52" s="99">
        <v>0</v>
      </c>
      <c r="AE52" s="99">
        <f t="shared" si="10"/>
        <v>0</v>
      </c>
      <c r="AF52" s="99">
        <v>0</v>
      </c>
      <c r="AG52" s="99">
        <f t="shared" si="11"/>
        <v>0</v>
      </c>
      <c r="AH52" s="99">
        <v>0</v>
      </c>
      <c r="AI52" s="99">
        <f t="shared" si="12"/>
        <v>0</v>
      </c>
      <c r="AJ52" s="3"/>
      <c r="AK52" s="3">
        <f t="shared" si="6"/>
        <v>0</v>
      </c>
      <c r="AL52" s="3">
        <f t="shared" si="13"/>
        <v>0</v>
      </c>
      <c r="AM52" s="3"/>
      <c r="AN52" s="29"/>
      <c r="AP52" s="5"/>
      <c r="AQ52" s="5"/>
      <c r="AR52" s="5"/>
      <c r="AS52" s="5"/>
    </row>
    <row r="53" spans="1:45" s="81" customFormat="1" ht="23.25">
      <c r="A53" s="82" t="s">
        <v>80</v>
      </c>
      <c r="B53" s="82">
        <v>428</v>
      </c>
      <c r="C53" s="25">
        <v>3702</v>
      </c>
      <c r="D53" s="82">
        <v>500</v>
      </c>
      <c r="E53" s="82" t="s">
        <v>92</v>
      </c>
      <c r="F53" s="36" t="s">
        <v>170</v>
      </c>
      <c r="G53" s="36" t="s">
        <v>190</v>
      </c>
      <c r="H53" s="44">
        <v>1.0249999999999999</v>
      </c>
      <c r="I53" s="34">
        <v>2</v>
      </c>
      <c r="J53" s="82" t="s">
        <v>95</v>
      </c>
      <c r="K53" s="83">
        <v>42232</v>
      </c>
      <c r="L53" s="13" t="s">
        <v>114</v>
      </c>
      <c r="M53" s="99">
        <v>0.97499999999999998</v>
      </c>
      <c r="N53" s="99">
        <v>0.1</v>
      </c>
      <c r="O53" s="99">
        <v>0</v>
      </c>
      <c r="P53" s="99">
        <v>0</v>
      </c>
      <c r="Q53" s="99">
        <v>1.8160000000000001</v>
      </c>
      <c r="R53" s="99">
        <v>1.05</v>
      </c>
      <c r="S53" s="99">
        <v>2.5000000000000001E-2</v>
      </c>
      <c r="T53" s="99">
        <v>0</v>
      </c>
      <c r="U53" s="99">
        <v>0</v>
      </c>
      <c r="V53" s="99">
        <v>3.8039999999999998</v>
      </c>
      <c r="W53" s="99">
        <v>0</v>
      </c>
      <c r="X53" s="99">
        <v>0</v>
      </c>
      <c r="Y53" s="99">
        <f t="shared" si="5"/>
        <v>1.075</v>
      </c>
      <c r="Z53" s="99">
        <v>1.036</v>
      </c>
      <c r="AA53" s="100">
        <v>0</v>
      </c>
      <c r="AB53" s="99">
        <v>0</v>
      </c>
      <c r="AC53" s="99">
        <f t="shared" si="9"/>
        <v>0</v>
      </c>
      <c r="AD53" s="99">
        <v>0</v>
      </c>
      <c r="AE53" s="99">
        <f t="shared" si="10"/>
        <v>0</v>
      </c>
      <c r="AF53" s="99">
        <v>0</v>
      </c>
      <c r="AG53" s="99">
        <f t="shared" si="11"/>
        <v>0</v>
      </c>
      <c r="AH53" s="99">
        <v>0</v>
      </c>
      <c r="AI53" s="99">
        <f t="shared" si="12"/>
        <v>0</v>
      </c>
      <c r="AJ53" s="3"/>
      <c r="AK53" s="3">
        <f t="shared" si="6"/>
        <v>0</v>
      </c>
      <c r="AL53" s="3">
        <f t="shared" si="13"/>
        <v>0</v>
      </c>
      <c r="AM53" s="3"/>
      <c r="AN53" s="29"/>
      <c r="AP53" s="5"/>
      <c r="AQ53" s="5"/>
      <c r="AR53" s="5"/>
      <c r="AS53" s="5"/>
    </row>
    <row r="54" spans="1:45" s="81" customFormat="1" ht="23.25">
      <c r="A54" s="82" t="s">
        <v>80</v>
      </c>
      <c r="B54" s="82">
        <v>428</v>
      </c>
      <c r="C54" s="25">
        <v>3702</v>
      </c>
      <c r="D54" s="82">
        <v>500</v>
      </c>
      <c r="E54" s="82" t="s">
        <v>92</v>
      </c>
      <c r="F54" s="36" t="s">
        <v>191</v>
      </c>
      <c r="G54" s="36" t="s">
        <v>171</v>
      </c>
      <c r="H54" s="44">
        <v>2.2250000000000001</v>
      </c>
      <c r="I54" s="34">
        <v>2</v>
      </c>
      <c r="J54" s="82" t="s">
        <v>95</v>
      </c>
      <c r="K54" s="83">
        <v>42232</v>
      </c>
      <c r="L54" s="13" t="s">
        <v>114</v>
      </c>
      <c r="M54" s="99">
        <v>1.9750000000000001</v>
      </c>
      <c r="N54" s="99">
        <v>0.15</v>
      </c>
      <c r="O54" s="99">
        <v>7.4999999999999997E-2</v>
      </c>
      <c r="P54" s="99">
        <v>2.5000000000000001E-2</v>
      </c>
      <c r="Q54" s="99">
        <v>1.992</v>
      </c>
      <c r="R54" s="99">
        <v>2.0249999999999999</v>
      </c>
      <c r="S54" s="99">
        <v>0.2</v>
      </c>
      <c r="T54" s="99">
        <v>0</v>
      </c>
      <c r="U54" s="99">
        <v>0</v>
      </c>
      <c r="V54" s="99">
        <v>6.3579999999999997</v>
      </c>
      <c r="W54" s="99">
        <v>0</v>
      </c>
      <c r="X54" s="99">
        <v>0</v>
      </c>
      <c r="Y54" s="99">
        <f t="shared" si="5"/>
        <v>2.2250000000000001</v>
      </c>
      <c r="Z54" s="99">
        <v>1.26</v>
      </c>
      <c r="AA54" s="100">
        <v>0</v>
      </c>
      <c r="AB54" s="99">
        <v>0</v>
      </c>
      <c r="AC54" s="99">
        <f t="shared" si="9"/>
        <v>0</v>
      </c>
      <c r="AD54" s="99">
        <v>0</v>
      </c>
      <c r="AE54" s="99">
        <f t="shared" si="10"/>
        <v>0</v>
      </c>
      <c r="AF54" s="99">
        <v>0</v>
      </c>
      <c r="AG54" s="99">
        <f t="shared" si="11"/>
        <v>0</v>
      </c>
      <c r="AH54" s="99">
        <v>0</v>
      </c>
      <c r="AI54" s="99">
        <f t="shared" si="12"/>
        <v>0</v>
      </c>
      <c r="AJ54" s="3"/>
      <c r="AK54" s="3">
        <f t="shared" si="6"/>
        <v>0</v>
      </c>
      <c r="AL54" s="3">
        <f t="shared" si="13"/>
        <v>0</v>
      </c>
      <c r="AM54" s="3"/>
      <c r="AN54" s="29"/>
      <c r="AP54" s="5"/>
      <c r="AQ54" s="5"/>
      <c r="AR54" s="5"/>
      <c r="AS54" s="5"/>
    </row>
    <row r="55" spans="1:45" s="81" customFormat="1" ht="23.25">
      <c r="A55" s="82" t="s">
        <v>80</v>
      </c>
      <c r="B55" s="82">
        <v>428</v>
      </c>
      <c r="C55" s="25">
        <v>3702</v>
      </c>
      <c r="D55" s="82">
        <v>500</v>
      </c>
      <c r="E55" s="82" t="s">
        <v>92</v>
      </c>
      <c r="F55" s="36" t="s">
        <v>192</v>
      </c>
      <c r="G55" s="36" t="s">
        <v>193</v>
      </c>
      <c r="H55" s="44">
        <v>1.476</v>
      </c>
      <c r="I55" s="34">
        <v>2</v>
      </c>
      <c r="J55" s="82" t="s">
        <v>95</v>
      </c>
      <c r="K55" s="83">
        <v>42232</v>
      </c>
      <c r="L55" s="13" t="s">
        <v>114</v>
      </c>
      <c r="M55" s="147">
        <v>1.325</v>
      </c>
      <c r="N55" s="147">
        <v>0.05</v>
      </c>
      <c r="O55" s="147">
        <v>2.5000000000000001E-2</v>
      </c>
      <c r="P55" s="147">
        <v>2.5000000000000001E-2</v>
      </c>
      <c r="Q55" s="147">
        <v>1.829</v>
      </c>
      <c r="R55" s="147">
        <v>1.425</v>
      </c>
      <c r="S55" s="147">
        <v>0</v>
      </c>
      <c r="T55" s="147">
        <v>0</v>
      </c>
      <c r="U55" s="147">
        <v>0</v>
      </c>
      <c r="V55" s="147">
        <v>2.2749999999999999</v>
      </c>
      <c r="W55" s="147">
        <v>0</v>
      </c>
      <c r="X55" s="147">
        <v>0</v>
      </c>
      <c r="Y55" s="147">
        <f t="shared" si="5"/>
        <v>1.4249999999999998</v>
      </c>
      <c r="Z55" s="147">
        <v>1.2569999999999999</v>
      </c>
      <c r="AA55" s="100">
        <v>0</v>
      </c>
      <c r="AB55" s="99">
        <v>0</v>
      </c>
      <c r="AC55" s="99">
        <f t="shared" si="9"/>
        <v>0</v>
      </c>
      <c r="AD55" s="99">
        <v>0</v>
      </c>
      <c r="AE55" s="99">
        <f t="shared" si="10"/>
        <v>0</v>
      </c>
      <c r="AF55" s="99">
        <v>0</v>
      </c>
      <c r="AG55" s="99">
        <f t="shared" si="11"/>
        <v>0</v>
      </c>
      <c r="AH55" s="99">
        <v>0</v>
      </c>
      <c r="AI55" s="99">
        <f t="shared" si="12"/>
        <v>0</v>
      </c>
      <c r="AJ55" s="3"/>
      <c r="AK55" s="3">
        <f t="shared" si="6"/>
        <v>0</v>
      </c>
      <c r="AL55" s="3">
        <f t="shared" si="13"/>
        <v>0</v>
      </c>
      <c r="AM55" s="3"/>
      <c r="AN55" s="29"/>
      <c r="AP55" s="5"/>
      <c r="AQ55" s="5"/>
      <c r="AR55" s="5"/>
      <c r="AS55" s="5"/>
    </row>
    <row r="56" spans="1:45" s="81" customFormat="1" ht="23.25">
      <c r="A56" s="82" t="s">
        <v>80</v>
      </c>
      <c r="B56" s="82">
        <v>428</v>
      </c>
      <c r="C56" s="25">
        <v>3702</v>
      </c>
      <c r="D56" s="82">
        <v>500</v>
      </c>
      <c r="E56" s="82" t="s">
        <v>92</v>
      </c>
      <c r="F56" s="36" t="s">
        <v>194</v>
      </c>
      <c r="G56" s="36" t="s">
        <v>195</v>
      </c>
      <c r="H56" s="44">
        <v>2.2040000000000002</v>
      </c>
      <c r="I56" s="34">
        <v>2</v>
      </c>
      <c r="J56" s="82" t="s">
        <v>95</v>
      </c>
      <c r="K56" s="83">
        <v>42232</v>
      </c>
      <c r="L56" s="13" t="s">
        <v>114</v>
      </c>
      <c r="M56" s="147">
        <v>1.175</v>
      </c>
      <c r="N56" s="147">
        <v>0.3</v>
      </c>
      <c r="O56" s="147">
        <v>0.52500000000000002</v>
      </c>
      <c r="P56" s="147">
        <v>0.17499999999999999</v>
      </c>
      <c r="Q56" s="147">
        <v>2.8740000000000001</v>
      </c>
      <c r="R56" s="147">
        <v>2.0750000000000002</v>
      </c>
      <c r="S56" s="147">
        <v>0.05</v>
      </c>
      <c r="T56" s="147">
        <v>0.05</v>
      </c>
      <c r="U56" s="147">
        <v>0</v>
      </c>
      <c r="V56" s="147">
        <v>3.956</v>
      </c>
      <c r="W56" s="147">
        <v>0</v>
      </c>
      <c r="X56" s="147">
        <v>0</v>
      </c>
      <c r="Y56" s="147">
        <f t="shared" si="5"/>
        <v>2.1749999999999998</v>
      </c>
      <c r="Z56" s="147">
        <v>1.2270000000000001</v>
      </c>
      <c r="AA56" s="100">
        <v>0</v>
      </c>
      <c r="AB56" s="99">
        <v>1.17</v>
      </c>
      <c r="AC56" s="99">
        <f t="shared" si="9"/>
        <v>7.5836142079336259E-3</v>
      </c>
      <c r="AD56" s="99">
        <v>0</v>
      </c>
      <c r="AE56" s="99">
        <f t="shared" si="10"/>
        <v>0</v>
      </c>
      <c r="AF56" s="99">
        <v>0</v>
      </c>
      <c r="AG56" s="99">
        <f t="shared" si="11"/>
        <v>0</v>
      </c>
      <c r="AH56" s="99">
        <v>0</v>
      </c>
      <c r="AI56" s="99">
        <f t="shared" si="12"/>
        <v>0</v>
      </c>
      <c r="AJ56" s="3"/>
      <c r="AK56" s="3">
        <f t="shared" si="6"/>
        <v>0.58499999999999996</v>
      </c>
      <c r="AL56" s="3">
        <f t="shared" si="13"/>
        <v>1.2893399999999999</v>
      </c>
      <c r="AM56" s="3"/>
      <c r="AN56" s="29"/>
      <c r="AP56" s="5"/>
      <c r="AQ56" s="5"/>
      <c r="AR56" s="5"/>
      <c r="AS56" s="5"/>
    </row>
    <row r="57" spans="1:45" s="117" customFormat="1" ht="23.25">
      <c r="A57" s="142" t="s">
        <v>80</v>
      </c>
      <c r="B57" s="142">
        <v>428</v>
      </c>
      <c r="C57" s="136">
        <v>3702</v>
      </c>
      <c r="D57" s="142">
        <v>500</v>
      </c>
      <c r="E57" s="142" t="s">
        <v>92</v>
      </c>
      <c r="F57" s="119" t="s">
        <v>196</v>
      </c>
      <c r="G57" s="119" t="s">
        <v>197</v>
      </c>
      <c r="H57" s="44">
        <v>0.111</v>
      </c>
      <c r="I57" s="137">
        <v>2</v>
      </c>
      <c r="J57" s="142" t="s">
        <v>95</v>
      </c>
      <c r="K57" s="141">
        <v>42232</v>
      </c>
      <c r="L57" s="13" t="s">
        <v>114</v>
      </c>
      <c r="M57" s="147">
        <v>0.1</v>
      </c>
      <c r="N57" s="147">
        <v>0</v>
      </c>
      <c r="O57" s="147">
        <v>0</v>
      </c>
      <c r="P57" s="147">
        <v>0</v>
      </c>
      <c r="Q57" s="147">
        <v>1.883</v>
      </c>
      <c r="R57" s="147">
        <v>0.1</v>
      </c>
      <c r="S57" s="147">
        <v>0</v>
      </c>
      <c r="T57" s="147">
        <v>0</v>
      </c>
      <c r="U57" s="147">
        <v>0</v>
      </c>
      <c r="V57" s="147">
        <v>1.351</v>
      </c>
      <c r="W57" s="147">
        <v>0</v>
      </c>
      <c r="X57" s="147">
        <v>0</v>
      </c>
      <c r="Y57" s="147">
        <f t="shared" si="5"/>
        <v>0.1</v>
      </c>
      <c r="Z57" s="147">
        <v>1.099</v>
      </c>
      <c r="AA57" s="100">
        <v>0</v>
      </c>
      <c r="AB57" s="147">
        <v>0</v>
      </c>
      <c r="AC57" s="147">
        <f t="shared" si="9"/>
        <v>0</v>
      </c>
      <c r="AD57" s="147">
        <v>0</v>
      </c>
      <c r="AE57" s="147">
        <f t="shared" si="10"/>
        <v>0</v>
      </c>
      <c r="AF57" s="147">
        <v>0</v>
      </c>
      <c r="AG57" s="147">
        <f t="shared" si="11"/>
        <v>0</v>
      </c>
      <c r="AH57" s="147">
        <v>0</v>
      </c>
      <c r="AI57" s="147">
        <f t="shared" si="12"/>
        <v>0</v>
      </c>
      <c r="AJ57" s="138"/>
      <c r="AK57" s="138"/>
      <c r="AL57" s="138"/>
      <c r="AM57" s="138"/>
      <c r="AN57" s="29"/>
      <c r="AP57" s="5"/>
      <c r="AQ57" s="5"/>
      <c r="AR57" s="5"/>
      <c r="AS57" s="5"/>
    </row>
    <row r="58" spans="1:45" s="117" customFormat="1" ht="23.25">
      <c r="A58" s="142" t="s">
        <v>80</v>
      </c>
      <c r="B58" s="142">
        <v>428</v>
      </c>
      <c r="C58" s="136">
        <v>3702</v>
      </c>
      <c r="D58" s="142">
        <v>500</v>
      </c>
      <c r="E58" s="142" t="s">
        <v>92</v>
      </c>
      <c r="F58" s="119" t="s">
        <v>198</v>
      </c>
      <c r="G58" s="119" t="s">
        <v>199</v>
      </c>
      <c r="H58" s="44">
        <v>0.41099999999999998</v>
      </c>
      <c r="I58" s="137">
        <v>2</v>
      </c>
      <c r="J58" s="142" t="s">
        <v>95</v>
      </c>
      <c r="K58" s="141">
        <v>42232</v>
      </c>
      <c r="L58" s="13" t="s">
        <v>114</v>
      </c>
      <c r="M58" s="147">
        <v>0.3</v>
      </c>
      <c r="N58" s="147">
        <v>7.4999999999999997E-2</v>
      </c>
      <c r="O58" s="147">
        <v>0</v>
      </c>
      <c r="P58" s="147">
        <v>2.5000000000000001E-2</v>
      </c>
      <c r="Q58" s="147">
        <v>2.254</v>
      </c>
      <c r="R58" s="147">
        <v>0.375</v>
      </c>
      <c r="S58" s="147">
        <v>2.5000000000000001E-2</v>
      </c>
      <c r="T58" s="147">
        <v>0</v>
      </c>
      <c r="U58" s="147">
        <v>0</v>
      </c>
      <c r="V58" s="147">
        <v>4.569</v>
      </c>
      <c r="W58" s="147">
        <v>0</v>
      </c>
      <c r="X58" s="147">
        <v>0</v>
      </c>
      <c r="Y58" s="147">
        <f t="shared" si="5"/>
        <v>0.4</v>
      </c>
      <c r="Z58" s="147">
        <v>1.2410000000000001</v>
      </c>
      <c r="AA58" s="100">
        <v>0</v>
      </c>
      <c r="AB58" s="147">
        <v>0</v>
      </c>
      <c r="AC58" s="147">
        <f t="shared" si="9"/>
        <v>0</v>
      </c>
      <c r="AD58" s="147">
        <v>0</v>
      </c>
      <c r="AE58" s="147">
        <f t="shared" si="10"/>
        <v>0</v>
      </c>
      <c r="AF58" s="147">
        <v>0</v>
      </c>
      <c r="AG58" s="147">
        <f t="shared" si="11"/>
        <v>0</v>
      </c>
      <c r="AH58" s="147">
        <v>0</v>
      </c>
      <c r="AI58" s="147">
        <f t="shared" si="12"/>
        <v>0</v>
      </c>
      <c r="AJ58" s="138"/>
      <c r="AK58" s="138"/>
      <c r="AL58" s="138"/>
      <c r="AM58" s="138"/>
      <c r="AN58" s="29"/>
      <c r="AP58" s="5"/>
      <c r="AQ58" s="5"/>
      <c r="AR58" s="5"/>
      <c r="AS58" s="5"/>
    </row>
    <row r="59" spans="1:45" s="117" customFormat="1" ht="23.25">
      <c r="A59" s="142" t="s">
        <v>80</v>
      </c>
      <c r="B59" s="142">
        <v>428</v>
      </c>
      <c r="C59" s="136">
        <v>3702</v>
      </c>
      <c r="D59" s="142">
        <v>500</v>
      </c>
      <c r="E59" s="142" t="s">
        <v>92</v>
      </c>
      <c r="F59" s="119" t="s">
        <v>109</v>
      </c>
      <c r="G59" s="119" t="s">
        <v>200</v>
      </c>
      <c r="H59" s="44">
        <v>0.26500000000000001</v>
      </c>
      <c r="I59" s="137">
        <v>2</v>
      </c>
      <c r="J59" s="142" t="s">
        <v>95</v>
      </c>
      <c r="K59" s="141">
        <v>42232</v>
      </c>
      <c r="L59" s="13" t="s">
        <v>114</v>
      </c>
      <c r="M59" s="147">
        <v>0.05</v>
      </c>
      <c r="N59" s="147">
        <v>0.15</v>
      </c>
      <c r="O59" s="147">
        <v>7.4999999999999997E-2</v>
      </c>
      <c r="P59" s="147">
        <v>0</v>
      </c>
      <c r="Q59" s="147">
        <v>3.1</v>
      </c>
      <c r="R59" s="147">
        <v>0.25</v>
      </c>
      <c r="S59" s="147">
        <v>0</v>
      </c>
      <c r="T59" s="147">
        <v>2.5000000000000001E-2</v>
      </c>
      <c r="U59" s="147">
        <v>0</v>
      </c>
      <c r="V59" s="147">
        <v>4.149</v>
      </c>
      <c r="W59" s="147">
        <v>0</v>
      </c>
      <c r="X59" s="147">
        <v>0</v>
      </c>
      <c r="Y59" s="147">
        <f t="shared" si="5"/>
        <v>0.27500000000000002</v>
      </c>
      <c r="Z59" s="147">
        <v>1.17</v>
      </c>
      <c r="AA59" s="100">
        <v>0</v>
      </c>
      <c r="AB59" s="147">
        <v>0</v>
      </c>
      <c r="AC59" s="147">
        <f t="shared" si="9"/>
        <v>0</v>
      </c>
      <c r="AD59" s="147">
        <v>0</v>
      </c>
      <c r="AE59" s="147">
        <f t="shared" si="10"/>
        <v>0</v>
      </c>
      <c r="AF59" s="147">
        <v>0</v>
      </c>
      <c r="AG59" s="147">
        <f t="shared" si="11"/>
        <v>0</v>
      </c>
      <c r="AH59" s="147">
        <v>0</v>
      </c>
      <c r="AI59" s="147">
        <f t="shared" si="12"/>
        <v>0</v>
      </c>
      <c r="AJ59" s="138"/>
      <c r="AK59" s="138"/>
      <c r="AL59" s="138"/>
      <c r="AM59" s="138"/>
      <c r="AN59" s="29"/>
      <c r="AP59" s="5"/>
      <c r="AQ59" s="5"/>
      <c r="AR59" s="5"/>
      <c r="AS59" s="5"/>
    </row>
    <row r="60" spans="1:45" s="117" customFormat="1" ht="23.25">
      <c r="A60" s="24"/>
      <c r="B60" s="24"/>
      <c r="C60" s="24"/>
      <c r="D60" s="24"/>
      <c r="E60" s="24"/>
      <c r="F60" s="197" t="s">
        <v>111</v>
      </c>
      <c r="G60" s="197"/>
      <c r="H60" s="149">
        <v>329.58600000000001</v>
      </c>
      <c r="I60" s="150"/>
      <c r="J60" s="150"/>
      <c r="K60" s="150"/>
      <c r="L60" s="169"/>
      <c r="M60" s="151">
        <f t="shared" ref="M60:P60" si="14">SUM(M4:M59)</f>
        <v>198.03000000000014</v>
      </c>
      <c r="N60" s="151">
        <f t="shared" si="14"/>
        <v>70.750000000000014</v>
      </c>
      <c r="O60" s="151">
        <f t="shared" si="14"/>
        <v>35.049999999999983</v>
      </c>
      <c r="P60" s="151">
        <f t="shared" si="14"/>
        <v>26.899999999999991</v>
      </c>
      <c r="Q60" s="151" t="s">
        <v>112</v>
      </c>
      <c r="R60" s="151">
        <f t="shared" ref="R60:U60" si="15">SUM(R4:R59)</f>
        <v>289.72499999999997</v>
      </c>
      <c r="S60" s="151">
        <f t="shared" si="15"/>
        <v>34.20000000000001</v>
      </c>
      <c r="T60" s="151">
        <f t="shared" si="15"/>
        <v>5.2250000000000014</v>
      </c>
      <c r="U60" s="151">
        <f t="shared" si="15"/>
        <v>1.575</v>
      </c>
      <c r="V60" s="151" t="s">
        <v>112</v>
      </c>
      <c r="W60" s="151">
        <f>SUM(W4:W59)</f>
        <v>0</v>
      </c>
      <c r="X60" s="151">
        <f>SUM(X4:X59)</f>
        <v>0</v>
      </c>
      <c r="Y60" s="151">
        <f>SUM(Y4:Y59)</f>
        <v>330.73000000000008</v>
      </c>
      <c r="Z60" s="151" t="s">
        <v>112</v>
      </c>
      <c r="AA60" s="151">
        <f>SUM(AA4:AA59)</f>
        <v>6405.79</v>
      </c>
      <c r="AB60" s="151">
        <f>SUM(AB4:AB59)</f>
        <v>61.680000000000007</v>
      </c>
      <c r="AC60" s="151" t="s">
        <v>112</v>
      </c>
      <c r="AD60" s="151">
        <f>SUM(AD4:AD59)</f>
        <v>34.72</v>
      </c>
      <c r="AE60" s="151" t="s">
        <v>112</v>
      </c>
      <c r="AF60" s="151">
        <f>SUM(AF4:AF59)</f>
        <v>284.8</v>
      </c>
      <c r="AG60" s="151" t="s">
        <v>112</v>
      </c>
      <c r="AH60" s="151">
        <f>SUM(AH4:AH59)</f>
        <v>4.83</v>
      </c>
      <c r="AI60" s="151" t="s">
        <v>112</v>
      </c>
      <c r="AJ60" s="148"/>
      <c r="AL60" s="117">
        <f>SUM(AL4:AL59)/H60</f>
        <v>343.86879022470612</v>
      </c>
      <c r="AM60" s="29">
        <f>SUM(AM4:AM59)</f>
        <v>202.58</v>
      </c>
      <c r="AN60" s="29">
        <f>SUM(AN4:AN59)</f>
        <v>202.57500000000002</v>
      </c>
    </row>
    <row r="61" spans="1:45" ht="23.25">
      <c r="A61" s="23"/>
      <c r="B61" s="23"/>
      <c r="C61" s="23"/>
      <c r="D61" s="23"/>
      <c r="E61" s="23"/>
      <c r="F61" s="205" t="s">
        <v>113</v>
      </c>
      <c r="G61" s="205"/>
      <c r="H61" s="154"/>
      <c r="I61" s="154"/>
      <c r="J61" s="154"/>
      <c r="K61" s="154"/>
      <c r="L61" s="169"/>
      <c r="M61" s="151" t="s">
        <v>112</v>
      </c>
      <c r="N61" s="151" t="s">
        <v>112</v>
      </c>
      <c r="O61" s="151" t="s">
        <v>112</v>
      </c>
      <c r="P61" s="151" t="s">
        <v>112</v>
      </c>
      <c r="Q61" s="142">
        <v>2.82</v>
      </c>
      <c r="R61" s="151" t="s">
        <v>112</v>
      </c>
      <c r="S61" s="151" t="s">
        <v>112</v>
      </c>
      <c r="T61" s="151" t="s">
        <v>112</v>
      </c>
      <c r="U61" s="151" t="s">
        <v>112</v>
      </c>
      <c r="V61" s="151">
        <f>SUMPRODUCT(V4:V59,H4:H59)/H60</f>
        <v>6.5289286751257638</v>
      </c>
      <c r="W61" s="151" t="s">
        <v>112</v>
      </c>
      <c r="X61" s="151" t="s">
        <v>112</v>
      </c>
      <c r="Y61" s="151" t="s">
        <v>112</v>
      </c>
      <c r="Z61" s="151">
        <f>SUMPRODUCT(Z4:Z59,H4:H59)/H60</f>
        <v>1.3151720955380386</v>
      </c>
      <c r="AA61" s="155" t="s">
        <v>112</v>
      </c>
      <c r="AB61" s="155" t="s">
        <v>112</v>
      </c>
      <c r="AC61" s="155">
        <f>SUMPRODUCT(AC4:AC59,H4:H59)/H60</f>
        <v>0.55798399897360407</v>
      </c>
      <c r="AD61" s="155" t="s">
        <v>112</v>
      </c>
      <c r="AE61" s="155">
        <f>SUMPRODUCT(AE4:AE59,H4:H59)/H60</f>
        <v>3.0098365828645631E-3</v>
      </c>
      <c r="AF61" s="155" t="s">
        <v>112</v>
      </c>
      <c r="AG61" s="155">
        <f>SUMPRODUCT(AG4:AG59,H4:H59)/H60</f>
        <v>2.4688982108289972E-2</v>
      </c>
      <c r="AH61" s="155" t="s">
        <v>112</v>
      </c>
      <c r="AI61" s="155">
        <f>SUMPRODUCT(AO4:AO59,H4:H59)/H60</f>
        <v>0</v>
      </c>
      <c r="AJ61" s="153"/>
      <c r="AK61" s="80"/>
      <c r="AM61" s="18">
        <f>((AM60-H60)/H60)*100</f>
        <v>-38.53501058904201</v>
      </c>
      <c r="AN61" s="18">
        <f>((AN60-H60)/H60)*100</f>
        <v>-38.536527643771272</v>
      </c>
    </row>
    <row r="62" spans="1:45" ht="15">
      <c r="B62" s="32"/>
      <c r="C62" s="32"/>
      <c r="D62" s="32"/>
      <c r="E62" s="32"/>
      <c r="F62" s="153"/>
      <c r="G62" s="153"/>
      <c r="H62" s="153"/>
      <c r="I62" s="153"/>
      <c r="J62" s="153"/>
      <c r="K62" s="153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53"/>
      <c r="AB62" s="153"/>
      <c r="AC62" s="153"/>
      <c r="AD62" s="153"/>
      <c r="AE62" s="133"/>
      <c r="AF62" s="134"/>
      <c r="AG62" s="153"/>
      <c r="AH62" s="153"/>
      <c r="AI62" s="153"/>
      <c r="AJ62" s="153"/>
    </row>
    <row r="63" spans="1:45" ht="15">
      <c r="H63" s="105"/>
      <c r="I63" s="28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E63" s="19"/>
      <c r="AF63" s="20"/>
    </row>
    <row r="64" spans="1:45" ht="15">
      <c r="AE64" s="19"/>
      <c r="AF64" s="20"/>
    </row>
    <row r="65" spans="1:32" ht="15">
      <c r="AE65" s="19"/>
      <c r="AF65" s="20"/>
    </row>
    <row r="70" spans="1:32" ht="23.25">
      <c r="A70" s="206" t="s">
        <v>232</v>
      </c>
      <c r="B70" s="206"/>
      <c r="C70" s="206"/>
      <c r="D70" s="206"/>
      <c r="E70" s="20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2" ht="93" customHeight="1">
      <c r="A71" s="171" t="s">
        <v>117</v>
      </c>
      <c r="B71" s="171" t="s">
        <v>0</v>
      </c>
      <c r="C71" s="193" t="s">
        <v>1</v>
      </c>
      <c r="D71" s="195" t="s">
        <v>2</v>
      </c>
      <c r="E71" s="171" t="s">
        <v>3</v>
      </c>
      <c r="F71" s="171" t="s">
        <v>235</v>
      </c>
      <c r="G71" s="171" t="s">
        <v>236</v>
      </c>
      <c r="H71" s="190" t="s">
        <v>237</v>
      </c>
      <c r="I71" s="171" t="s">
        <v>5</v>
      </c>
      <c r="J71" s="171" t="s">
        <v>6</v>
      </c>
      <c r="K71" s="185" t="s">
        <v>7</v>
      </c>
      <c r="L71" s="171" t="s">
        <v>8</v>
      </c>
      <c r="M71" s="187" t="s">
        <v>238</v>
      </c>
      <c r="N71" s="188"/>
      <c r="O71" s="188"/>
      <c r="P71" s="189"/>
      <c r="Q71" s="183" t="s">
        <v>239</v>
      </c>
      <c r="R71" s="177" t="s">
        <v>242</v>
      </c>
      <c r="S71" s="178"/>
      <c r="T71" s="179"/>
      <c r="U71" s="183" t="s">
        <v>243</v>
      </c>
      <c r="V71" s="175" t="s">
        <v>205</v>
      </c>
      <c r="W71" s="175" t="s">
        <v>264</v>
      </c>
      <c r="X71" s="175" t="s">
        <v>265</v>
      </c>
      <c r="Y71" s="175" t="s">
        <v>206</v>
      </c>
      <c r="Z71" s="175" t="s">
        <v>207</v>
      </c>
      <c r="AA71" s="175" t="s">
        <v>266</v>
      </c>
      <c r="AB71" s="175" t="s">
        <v>250</v>
      </c>
      <c r="AC71" s="168" t="s">
        <v>212</v>
      </c>
      <c r="AD71" s="121"/>
    </row>
    <row r="72" spans="1:32" ht="23.25">
      <c r="A72" s="172"/>
      <c r="B72" s="172"/>
      <c r="C72" s="194"/>
      <c r="D72" s="196"/>
      <c r="E72" s="172"/>
      <c r="F72" s="172"/>
      <c r="G72" s="172"/>
      <c r="H72" s="191"/>
      <c r="I72" s="172"/>
      <c r="J72" s="172"/>
      <c r="K72" s="186"/>
      <c r="L72" s="172"/>
      <c r="M72" s="143" t="s">
        <v>253</v>
      </c>
      <c r="N72" s="144" t="s">
        <v>254</v>
      </c>
      <c r="O72" s="144" t="s">
        <v>255</v>
      </c>
      <c r="P72" s="143" t="s">
        <v>256</v>
      </c>
      <c r="Q72" s="184"/>
      <c r="R72" s="143" t="s">
        <v>261</v>
      </c>
      <c r="S72" s="144" t="s">
        <v>262</v>
      </c>
      <c r="T72" s="143" t="s">
        <v>263</v>
      </c>
      <c r="U72" s="184"/>
      <c r="V72" s="176"/>
      <c r="W72" s="176"/>
      <c r="X72" s="176"/>
      <c r="Y72" s="176"/>
      <c r="Z72" s="176"/>
      <c r="AA72" s="176"/>
      <c r="AB72" s="176"/>
      <c r="AC72" s="135" t="s">
        <v>267</v>
      </c>
      <c r="AD72" s="122"/>
    </row>
    <row r="73" spans="1:32" s="117" customFormat="1" ht="23.25">
      <c r="A73" s="118" t="s">
        <v>80</v>
      </c>
      <c r="B73" s="118">
        <v>428</v>
      </c>
      <c r="C73" s="118">
        <v>3240</v>
      </c>
      <c r="D73" s="118">
        <v>101</v>
      </c>
      <c r="E73" s="118" t="s">
        <v>85</v>
      </c>
      <c r="F73" s="119">
        <v>3900</v>
      </c>
      <c r="G73" s="119">
        <v>2900</v>
      </c>
      <c r="H73" s="120">
        <v>1</v>
      </c>
      <c r="I73" s="137">
        <v>2</v>
      </c>
      <c r="J73" s="142" t="s">
        <v>95</v>
      </c>
      <c r="K73" s="141">
        <v>42232</v>
      </c>
      <c r="L73" s="142" t="s">
        <v>233</v>
      </c>
      <c r="M73" s="147">
        <v>7.4999999999999997E-2</v>
      </c>
      <c r="N73" s="147">
        <v>0.45</v>
      </c>
      <c r="O73" s="147">
        <v>0.45</v>
      </c>
      <c r="P73" s="147">
        <v>2.5000000000000001E-2</v>
      </c>
      <c r="Q73" s="147">
        <v>3.4672499999999999</v>
      </c>
      <c r="R73" s="139">
        <v>0</v>
      </c>
      <c r="S73" s="139">
        <v>0</v>
      </c>
      <c r="T73" s="120">
        <v>1</v>
      </c>
      <c r="U73" s="147">
        <v>0.90217499999999995</v>
      </c>
      <c r="V73" s="139">
        <v>0</v>
      </c>
      <c r="W73" s="146">
        <v>0</v>
      </c>
      <c r="X73" s="146">
        <v>0</v>
      </c>
      <c r="Y73" s="146">
        <v>0</v>
      </c>
      <c r="Z73" s="146">
        <v>0</v>
      </c>
      <c r="AA73" s="139">
        <v>0</v>
      </c>
      <c r="AB73" s="139">
        <v>0</v>
      </c>
      <c r="AC73" s="146">
        <v>0</v>
      </c>
      <c r="AD73" s="123"/>
    </row>
    <row r="74" spans="1:32" s="117" customFormat="1" ht="23.25">
      <c r="A74" s="118" t="s">
        <v>80</v>
      </c>
      <c r="B74" s="118">
        <v>428</v>
      </c>
      <c r="C74" s="118">
        <v>3576</v>
      </c>
      <c r="D74" s="118">
        <v>100</v>
      </c>
      <c r="E74" s="118" t="s">
        <v>234</v>
      </c>
      <c r="F74" s="119">
        <v>536</v>
      </c>
      <c r="G74" s="119">
        <v>776</v>
      </c>
      <c r="H74" s="120">
        <v>0.24</v>
      </c>
      <c r="I74" s="137">
        <v>2</v>
      </c>
      <c r="J74" s="142" t="s">
        <v>227</v>
      </c>
      <c r="K74" s="141">
        <v>42232</v>
      </c>
      <c r="L74" s="142" t="s">
        <v>233</v>
      </c>
      <c r="M74" s="147">
        <v>0</v>
      </c>
      <c r="N74" s="147">
        <v>0</v>
      </c>
      <c r="O74" s="147">
        <v>0.05</v>
      </c>
      <c r="P74" s="147">
        <v>0.2</v>
      </c>
      <c r="Q74" s="147">
        <v>6.17</v>
      </c>
      <c r="R74" s="139">
        <v>0</v>
      </c>
      <c r="S74" s="139">
        <v>0</v>
      </c>
      <c r="T74" s="120">
        <v>0.24</v>
      </c>
      <c r="U74" s="147">
        <v>1.1968000000000001</v>
      </c>
      <c r="V74" s="139">
        <v>0</v>
      </c>
      <c r="W74" s="146">
        <v>0</v>
      </c>
      <c r="X74" s="146">
        <v>0</v>
      </c>
      <c r="Y74" s="146">
        <v>0</v>
      </c>
      <c r="Z74" s="146">
        <v>0</v>
      </c>
      <c r="AA74" s="139">
        <v>0</v>
      </c>
      <c r="AB74" s="139">
        <v>0</v>
      </c>
      <c r="AC74" s="146">
        <v>0</v>
      </c>
      <c r="AD74" s="123"/>
    </row>
    <row r="75" spans="1:32" s="117" customFormat="1" ht="23.25">
      <c r="F75" s="207" t="s">
        <v>111</v>
      </c>
      <c r="G75" s="208"/>
      <c r="H75" s="127">
        <v>1.24</v>
      </c>
      <c r="I75" s="128"/>
      <c r="J75" s="128"/>
      <c r="K75" s="128"/>
      <c r="L75" s="128"/>
      <c r="M75" s="127">
        <v>7.4999999999999997E-2</v>
      </c>
      <c r="N75" s="127">
        <v>0.45</v>
      </c>
      <c r="O75" s="127">
        <v>0.5</v>
      </c>
      <c r="P75" s="127">
        <v>0.22500000000000001</v>
      </c>
      <c r="Q75" s="129" t="s">
        <v>112</v>
      </c>
      <c r="R75" s="129">
        <v>0</v>
      </c>
      <c r="S75" s="129">
        <v>0</v>
      </c>
      <c r="T75" s="127">
        <v>1.24</v>
      </c>
      <c r="U75" s="129" t="s">
        <v>112</v>
      </c>
      <c r="V75" s="129">
        <v>0</v>
      </c>
      <c r="W75" s="130">
        <v>0</v>
      </c>
      <c r="X75" s="130">
        <v>0</v>
      </c>
      <c r="Y75" s="130">
        <v>0</v>
      </c>
      <c r="Z75" s="130">
        <v>0</v>
      </c>
      <c r="AA75" s="129">
        <v>0</v>
      </c>
      <c r="AB75" s="129" t="s">
        <v>112</v>
      </c>
      <c r="AC75" s="130">
        <v>0</v>
      </c>
      <c r="AD75" s="124"/>
    </row>
    <row r="76" spans="1:32" s="117" customFormat="1" ht="23.25">
      <c r="F76" s="209" t="s">
        <v>113</v>
      </c>
      <c r="G76" s="210"/>
      <c r="H76" s="118"/>
      <c r="I76" s="118"/>
      <c r="J76" s="118"/>
      <c r="K76" s="118"/>
      <c r="L76" s="118"/>
      <c r="M76" s="126" t="s">
        <v>112</v>
      </c>
      <c r="N76" s="126" t="s">
        <v>112</v>
      </c>
      <c r="O76" s="126" t="s">
        <v>112</v>
      </c>
      <c r="P76" s="126" t="s">
        <v>112</v>
      </c>
      <c r="Q76" s="14">
        <v>4.16</v>
      </c>
      <c r="R76" s="126" t="s">
        <v>112</v>
      </c>
      <c r="S76" s="126" t="s">
        <v>112</v>
      </c>
      <c r="T76" s="126" t="s">
        <v>112</v>
      </c>
      <c r="U76" s="126">
        <f>SUMPRODUCT(U73:U74,H73:H74)/H75</f>
        <v>0.95919919354838701</v>
      </c>
      <c r="V76" s="126" t="s">
        <v>112</v>
      </c>
      <c r="W76" s="125" t="s">
        <v>112</v>
      </c>
      <c r="X76" s="125" t="s">
        <v>112</v>
      </c>
      <c r="Y76" s="125" t="s">
        <v>112</v>
      </c>
      <c r="Z76" s="125" t="s">
        <v>112</v>
      </c>
      <c r="AA76" s="126" t="s">
        <v>112</v>
      </c>
      <c r="AB76" s="126">
        <v>0</v>
      </c>
      <c r="AC76" s="120" t="s">
        <v>112</v>
      </c>
      <c r="AD76" s="124"/>
    </row>
    <row r="77" spans="1:32" s="117" customFormat="1"/>
    <row r="78" spans="1:32" s="117" customFormat="1"/>
  </sheetData>
  <mergeCells count="55">
    <mergeCell ref="R2:U2"/>
    <mergeCell ref="V2:V3"/>
    <mergeCell ref="W2:Y2"/>
    <mergeCell ref="C2:C3"/>
    <mergeCell ref="D2:D3"/>
    <mergeCell ref="E2:E3"/>
    <mergeCell ref="M2:P2"/>
    <mergeCell ref="Q2:Q3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F60:G60"/>
    <mergeCell ref="F61:G61"/>
    <mergeCell ref="F2:F3"/>
    <mergeCell ref="A2:A3"/>
    <mergeCell ref="B2:B3"/>
    <mergeCell ref="G71:G72"/>
    <mergeCell ref="H71:H72"/>
    <mergeCell ref="I71:I72"/>
    <mergeCell ref="J71:J72"/>
    <mergeCell ref="A70:E70"/>
    <mergeCell ref="A71:A72"/>
    <mergeCell ref="B71:B72"/>
    <mergeCell ref="C71:C72"/>
    <mergeCell ref="D71:D72"/>
    <mergeCell ref="E71:E72"/>
    <mergeCell ref="Z71:Z72"/>
    <mergeCell ref="AA71:AA72"/>
    <mergeCell ref="AB71:AB72"/>
    <mergeCell ref="F75:G75"/>
    <mergeCell ref="F76:G76"/>
    <mergeCell ref="U71:U72"/>
    <mergeCell ref="V71:V72"/>
    <mergeCell ref="W71:W72"/>
    <mergeCell ref="X71:X72"/>
    <mergeCell ref="Y71:Y72"/>
    <mergeCell ref="K71:K72"/>
    <mergeCell ref="L71:L72"/>
    <mergeCell ref="M71:P71"/>
    <mergeCell ref="Q71:Q72"/>
    <mergeCell ref="R71:T71"/>
    <mergeCell ref="F71:F72"/>
  </mergeCells>
  <printOptions horizontalCentered="1"/>
  <pageMargins left="0.64052083333333332" right="0.25" top="0.75" bottom="0.75" header="0.3" footer="0.3"/>
  <pageSetup paperSize="8" scale="38" fitToHeight="0" orientation="landscape" r:id="rId1"/>
  <rowBreaks count="1" manualBreakCount="1">
    <brk id="69" max="34" man="1"/>
  </rowBreaks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ฉะเชิงเทรา</vt:lpstr>
      <vt:lpstr>ชลบุรี1</vt:lpstr>
      <vt:lpstr>จันทบุรี</vt:lpstr>
      <vt:lpstr>ตราด</vt:lpstr>
      <vt:lpstr>ระยอง</vt:lpstr>
      <vt:lpstr>ชลบุรี2</vt:lpstr>
      <vt:lpstr>จันทบุรี!Print_Area</vt:lpstr>
      <vt:lpstr>ฉะเชิงเทรา!Print_Area</vt:lpstr>
      <vt:lpstr>ชลบุรี1!Print_Area</vt:lpstr>
      <vt:lpstr>ชลบุรี2!Print_Area</vt:lpstr>
      <vt:lpstr>ตราด!Print_Area</vt:lpstr>
      <vt:lpstr>ระยอง!Print_Area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2016-06-30T02:17:10Z</cp:lastPrinted>
  <dcterms:created xsi:type="dcterms:W3CDTF">2015-10-18T13:51:35Z</dcterms:created>
  <dcterms:modified xsi:type="dcterms:W3CDTF">2016-06-30T02:17:18Z</dcterms:modified>
</cp:coreProperties>
</file>